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C:\Users\shira.v\Documents\תקציב\חריגות משרדיות\2021\"/>
    </mc:Choice>
  </mc:AlternateContent>
  <xr:revisionPtr revIDLastSave="0" documentId="8_{64CC0BB4-0F0D-46F7-9341-61DB56D4F04A}" xr6:coauthVersionLast="47" xr6:coauthVersionMax="47" xr10:uidLastSave="{00000000-0000-0000-0000-000000000000}"/>
  <bookViews>
    <workbookView xWindow="-120" yWindow="-120" windowWidth="24240" windowHeight="13140" firstSheet="5" activeTab="5" xr2:uid="{00000000-000D-0000-FFFF-FFFF00000000}"/>
  </bookViews>
  <sheets>
    <sheet name="PT" sheetId="31" state="hidden" r:id="rId1"/>
    <sheet name="דוח החרגות" sheetId="28" state="hidden" r:id="rId2"/>
    <sheet name="דוח תנועות" sheetId="30" state="hidden" r:id="rId3"/>
    <sheet name="דוח פניות לאוצר 2021" sheetId="24" state="hidden" r:id="rId4"/>
    <sheet name="אפריל" sheetId="27" state="hidden" r:id="rId5"/>
    <sheet name="מאי" sheetId="29" r:id="rId6"/>
  </sheets>
  <externalReferences>
    <externalReference r:id="rId7"/>
    <externalReference r:id="rId8"/>
    <externalReference r:id="rId9"/>
  </externalReferences>
  <definedNames>
    <definedName name="נספח_ב" localSheetId="4">אפריל!#REF!</definedName>
    <definedName name="נספח_ב" localSheetId="5">מאי!#REF!</definedName>
  </definedNames>
  <calcPr calcId="191029"/>
  <pivotCaches>
    <pivotCache cacheId="4"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29" l="1"/>
  <c r="D32" i="28" l="1"/>
  <c r="N32" i="28"/>
  <c r="O31" i="28"/>
  <c r="F31" i="28"/>
  <c r="F30" i="28"/>
  <c r="D30" i="28"/>
  <c r="O30" i="28" s="1"/>
  <c r="F29" i="28"/>
  <c r="D29" i="28"/>
  <c r="O29" i="28" s="1"/>
  <c r="O28" i="28"/>
  <c r="F28" i="28"/>
  <c r="F27" i="28"/>
  <c r="D27" i="28"/>
  <c r="O27" i="28" s="1"/>
  <c r="O26" i="28"/>
  <c r="F26" i="28"/>
  <c r="O25" i="28"/>
  <c r="F25" i="28"/>
  <c r="O24" i="28"/>
  <c r="F24" i="28"/>
  <c r="N23" i="28"/>
  <c r="O23" i="28" s="1"/>
  <c r="F23" i="28"/>
  <c r="D23" i="28"/>
  <c r="O22" i="28"/>
  <c r="F22" i="28"/>
  <c r="N21" i="28"/>
  <c r="O21" i="28" s="1"/>
  <c r="F21" i="28"/>
  <c r="O20" i="28"/>
  <c r="F20" i="28"/>
  <c r="D20" i="28"/>
  <c r="O19" i="28"/>
  <c r="F19" i="28"/>
  <c r="O18" i="28"/>
  <c r="F18" i="28"/>
  <c r="O17" i="28"/>
  <c r="F17" i="28"/>
  <c r="D17" i="28"/>
  <c r="O16" i="28"/>
  <c r="F16" i="28"/>
  <c r="O15" i="28"/>
  <c r="F15" i="28"/>
  <c r="D15" i="28"/>
  <c r="O14" i="28"/>
  <c r="F14" i="28"/>
  <c r="D14" i="28"/>
  <c r="F13" i="28"/>
  <c r="D13" i="28"/>
  <c r="O13" i="28" s="1"/>
  <c r="F12" i="28"/>
  <c r="D12" i="28"/>
  <c r="O12" i="28" s="1"/>
  <c r="O11" i="28"/>
  <c r="F11" i="28"/>
  <c r="F10" i="28"/>
  <c r="D10" i="28"/>
  <c r="O10" i="28" s="1"/>
  <c r="F9" i="28"/>
  <c r="D9" i="28"/>
  <c r="O9" i="28" s="1"/>
  <c r="O8" i="28"/>
  <c r="F8" i="28"/>
  <c r="O7" i="28"/>
  <c r="F7" i="28"/>
  <c r="N6" i="28"/>
  <c r="F6" i="28"/>
  <c r="D6" i="28"/>
  <c r="N5" i="28"/>
  <c r="F5" i="28"/>
  <c r="D5" i="28"/>
  <c r="O5" i="28" s="1"/>
  <c r="O4" i="28"/>
  <c r="F4" i="28"/>
  <c r="O3" i="28"/>
  <c r="F3" i="28"/>
  <c r="O2" i="28"/>
  <c r="F2" i="28"/>
  <c r="D2" i="28"/>
  <c r="D22" i="27"/>
  <c r="D14" i="27"/>
  <c r="O6" i="28" l="1"/>
  <c r="O32" i="28" s="1"/>
  <c r="D23" i="27"/>
  <c r="J11" i="24" l="1"/>
  <c r="G11" i="24"/>
  <c r="J10" i="24"/>
  <c r="G10" i="24"/>
  <c r="F9" i="24"/>
  <c r="J9" i="24" s="1"/>
  <c r="F8" i="24"/>
  <c r="G8" i="24" s="1"/>
  <c r="F7" i="24"/>
  <c r="J7" i="24" s="1"/>
  <c r="J6" i="24"/>
  <c r="F6" i="24"/>
  <c r="G6" i="24" s="1"/>
  <c r="J5" i="24"/>
  <c r="G5" i="24"/>
  <c r="I4" i="24"/>
  <c r="J4" i="24" s="1"/>
  <c r="G4" i="24"/>
  <c r="I3" i="24"/>
  <c r="J3" i="24" s="1"/>
  <c r="G3" i="24"/>
  <c r="J2" i="24"/>
  <c r="G2" i="24"/>
  <c r="G9" i="24" l="1"/>
  <c r="J8" i="24"/>
  <c r="G7" i="24"/>
</calcChain>
</file>

<file path=xl/sharedStrings.xml><?xml version="1.0" encoding="utf-8"?>
<sst xmlns="http://schemas.openxmlformats.org/spreadsheetml/2006/main" count="558" uniqueCount="229">
  <si>
    <t>הרשות הלאומית לחדשנות טכנולוגית</t>
  </si>
  <si>
    <t>פורמט לדיווח על החלטות בעניין הוצאות המשרד</t>
  </si>
  <si>
    <t>מס</t>
  </si>
  <si>
    <t>ספק</t>
  </si>
  <si>
    <t>נושא ההתקשרות</t>
  </si>
  <si>
    <r>
      <t>סכום ההתקשרות (</t>
    </r>
    <r>
      <rPr>
        <sz val="8"/>
        <color theme="1"/>
        <rFont val="Arial"/>
        <family val="2"/>
        <charset val="177"/>
        <scheme val="minor"/>
      </rPr>
      <t>סכום ההתקשרות ולא סכום המזומן</t>
    </r>
    <r>
      <rPr>
        <sz val="11"/>
        <color theme="1"/>
        <rFont val="Arial"/>
        <family val="2"/>
        <charset val="177"/>
        <scheme val="minor"/>
      </rPr>
      <t>)</t>
    </r>
  </si>
  <si>
    <t xml:space="preserve">שם הספק </t>
  </si>
  <si>
    <t>סכום מבוקש בש"ח כולל מעמ!!</t>
  </si>
  <si>
    <t>תקנה/ פריט התחייבות</t>
  </si>
  <si>
    <t>שם תקנה</t>
  </si>
  <si>
    <t>מרכז קרנות</t>
  </si>
  <si>
    <t>שם מרכז קרנות</t>
  </si>
  <si>
    <t>תפעול</t>
  </si>
  <si>
    <t>משרדיות</t>
  </si>
  <si>
    <t>אושר</t>
  </si>
  <si>
    <t xml:space="preserve">מחשוב </t>
  </si>
  <si>
    <t>משאבי אנוש</t>
  </si>
  <si>
    <t>מספר</t>
  </si>
  <si>
    <t>תאריך פנייה</t>
  </si>
  <si>
    <t>נושא</t>
  </si>
  <si>
    <t>סכום מבוקש</t>
  </si>
  <si>
    <t>סטטוס</t>
  </si>
  <si>
    <t>סכום מאושר</t>
  </si>
  <si>
    <t>שיווק</t>
  </si>
  <si>
    <t>הפרש</t>
  </si>
  <si>
    <t>נספח ב להודעת הנחיות לביצוע התקציב בשנת 2021</t>
  </si>
  <si>
    <t>24.01.2021</t>
  </si>
  <si>
    <t>25.01.2021</t>
  </si>
  <si>
    <t>הערות</t>
  </si>
  <si>
    <t xml:space="preserve">ניצול מתוך הפנייה </t>
  </si>
  <si>
    <t xml:space="preserve">יתרה לניצול </t>
  </si>
  <si>
    <t>בקשה למתן מענקים מכוח החוק לעידוד מחקר, פיתוח וחדשנות טכנולוגית בתעשייה, תשמ"ד-1094 (תקציב הרשאה) והתקשרויות נלוות, עבור קול קורא לניסוי והדגמת טכנולוגיות רחפנים במרחב אווירי מנוהל-  הרשות הלאומית לחדשנות</t>
  </si>
  <si>
    <t>בקשה להתקשרות עם משרדי רואי חשבון + מעריכי שווי קניין רוחני – הרשות הלאומית לחדשנות טכנולוגית</t>
  </si>
  <si>
    <t>07.02.2021</t>
  </si>
  <si>
    <t xml:space="preserve">בקשה להתקשרות עם בודקים מקצועיים  </t>
  </si>
  <si>
    <t>14.02.2021</t>
  </si>
  <si>
    <t xml:space="preserve">בקשה לאישור התקשרות עם בי ויי הפקות והשקעות בע"מ להפקת כנס השקה לתכנית הורייזון אירופה (Horizon Europe) </t>
  </si>
  <si>
    <t>הוגש</t>
  </si>
  <si>
    <t>יאושר על ידי החשב- יצאה הוראת תכם מעודכנת בנושא</t>
  </si>
  <si>
    <t>דיור</t>
  </si>
  <si>
    <t>02.03.2021</t>
  </si>
  <si>
    <t xml:space="preserve">בקשה ל: מתן מענקים מכוח החוק לעידוד מחקר, פיתוח וחדשנות טכנולוגית בתעשייה, תשמ"ד-1094 (תקציב הרשאה) והתקשרויות נלוות – הרשות הלאומית לחדשנות טכנולוגית- </t>
  </si>
  <si>
    <t>תקציב הרשאה הגדלה ל 526.2 משל"ח + לפמ 1.5 מלשח. הסכום המבוקש מתייחס לתקציב מזומן בלבד</t>
  </si>
  <si>
    <t>14.03.2021</t>
  </si>
  <si>
    <t>בקשה להתקשרות עם ספקים המעניקים שירותי יחסי ציבור בארץ ובחו"ל – רשות החדשנות</t>
  </si>
  <si>
    <t>דבי משה והמקומיוניקיישנס</t>
  </si>
  <si>
    <t>16.03.2021</t>
  </si>
  <si>
    <t xml:space="preserve">בקשה לאישור פרסומה של פנייה פרטנית מכוח מכרז מסגרת מס' 11/2018 של הרשות, לקבלת שירותי מידענות ומחקר שוק, ולהתקשרות עם ספק המסגרת הזוכה בפנייה הפרטנית, לצורך ניהול, ריכוז וניתוח הממצאים של פנייה לציבור לקבלת מידע בנוגע לרגולציה וחסמים רגולטוריים ביחס לתחום הבינה המלאכותית, לשם קידום פעילות זו בישראל </t>
  </si>
  <si>
    <t>18.03.2021</t>
  </si>
  <si>
    <t>בקשה למימוש אופציה להתקשרות עם ארנסט יאנג (ישראל) בע"מ – רשות החדשנות</t>
  </si>
  <si>
    <t>עיתון הארץ</t>
  </si>
  <si>
    <t xml:space="preserve">מטרת ההתקשרות </t>
  </si>
  <si>
    <r>
      <t>סכום התקשרות מצטבר מול הספק (</t>
    </r>
    <r>
      <rPr>
        <b/>
        <sz val="8"/>
        <color theme="1"/>
        <rFont val="Arial"/>
        <family val="2"/>
        <scheme val="minor"/>
      </rPr>
      <t>אם רלוונטי</t>
    </r>
    <r>
      <rPr>
        <b/>
        <sz val="11"/>
        <color theme="1"/>
        <rFont val="Arial"/>
        <family val="2"/>
        <scheme val="minor"/>
      </rPr>
      <t>)</t>
    </r>
  </si>
  <si>
    <t>יתרה מתקרת ההתקשרות</t>
  </si>
  <si>
    <r>
      <t>אושר בוועדת חריגים (</t>
    </r>
    <r>
      <rPr>
        <b/>
        <sz val="8"/>
        <color theme="1"/>
        <rFont val="Arial"/>
        <family val="2"/>
        <scheme val="minor"/>
      </rPr>
      <t>אם כן, לציין מס פנייה ותאריך אישור</t>
    </r>
    <r>
      <rPr>
        <b/>
        <sz val="11"/>
        <color theme="1"/>
        <rFont val="Arial"/>
        <family val="2"/>
        <scheme val="minor"/>
      </rPr>
      <t>)</t>
    </r>
  </si>
  <si>
    <r>
      <t>אושר בוועדת מכרזים (</t>
    </r>
    <r>
      <rPr>
        <b/>
        <sz val="8"/>
        <color theme="1"/>
        <rFont val="Arial"/>
        <family val="2"/>
        <scheme val="minor"/>
      </rPr>
      <t>אם כן, לציין תאריך דיון</t>
    </r>
    <r>
      <rPr>
        <b/>
        <sz val="11"/>
        <color theme="1"/>
        <rFont val="Arial"/>
        <family val="2"/>
        <scheme val="minor"/>
      </rPr>
      <t>)</t>
    </r>
  </si>
  <si>
    <t>נוצרה/ הוגדלה התחייבות מספר</t>
  </si>
  <si>
    <t xml:space="preserve">שווי שורה/ הגדלה </t>
  </si>
  <si>
    <t>הפרש יתרה שלא נוצלה מהחרגה</t>
  </si>
  <si>
    <t>החרגה קיימת/קודמת</t>
  </si>
  <si>
    <t>סכום להחרגה</t>
  </si>
  <si>
    <t>הוחרג בפועל</t>
  </si>
  <si>
    <t>23.00</t>
  </si>
  <si>
    <t>קומפיוטרגארד</t>
  </si>
  <si>
    <t xml:space="preserve">מינהל הדיור </t>
  </si>
  <si>
    <t>דוח החרגות לחודש: אפריל 2021</t>
  </si>
  <si>
    <t>פרסומי חודש 04/2021 בהתאם להוראות סעיף 49(ב) לחוק יסודות התקציב, תשמ"ה-1985</t>
  </si>
  <si>
    <t>התקשרות עם חברת ליסינג עבור עובדי הרשות</t>
  </si>
  <si>
    <t>שכירות מבנה, רבעונים 1+2 לשנת 2021</t>
  </si>
  <si>
    <t>פעילויות שיווק עבור הרשות</t>
  </si>
  <si>
    <t xml:space="preserve">רכישת ציוד מחשוב </t>
  </si>
  <si>
    <t>מערכת הערכת בודקים- הארכת התקשרות</t>
  </si>
  <si>
    <t>מערכת הערכת עובדים- הארכת התקשרות</t>
  </si>
  <si>
    <t>פרסום משרות דרושים</t>
  </si>
  <si>
    <t>פעילות רווחה</t>
  </si>
  <si>
    <t>הרחבת והארכת התקשרות עם חברת החשמל לשנת 2021</t>
  </si>
  <si>
    <t>רכישת מכשירים סלולאריים- עפי הסכם חשכ"ל</t>
  </si>
  <si>
    <t>כיבוד למטבחונים- הארכת התקשרות לשנת 2021</t>
  </si>
  <si>
    <t>תרגומים</t>
  </si>
  <si>
    <t>אבטחת מבנה- גטי</t>
  </si>
  <si>
    <t>עיתון הארץ מינוי דיגיאלי לחטיבת השיווק</t>
  </si>
  <si>
    <t>דוח החרגות לחודש: מאי 2021</t>
  </si>
  <si>
    <t>פרסומי חודש 05/2021 בהתאם להוראות סעיף 49(ב) לחוק יסודות התקציב, תשמ"ה-1985</t>
  </si>
  <si>
    <t>פלאפון תקשרות</t>
  </si>
  <si>
    <t>הגדלת התקשרות עבור רכישת 5 מכשירים</t>
  </si>
  <si>
    <t>eventact</t>
  </si>
  <si>
    <t>אי די איי</t>
  </si>
  <si>
    <t>מדבקות לרכבי הרשות</t>
  </si>
  <si>
    <t>עינת תעשיות מזון</t>
  </si>
  <si>
    <t>כיבוד לשבועות</t>
  </si>
  <si>
    <t>הגדלת הזמנה- עיצוב לכרטיסי ביקור</t>
  </si>
  <si>
    <t>טיקל סנטר</t>
  </si>
  <si>
    <t>רכישה של 4 טלפונים נייחים</t>
  </si>
  <si>
    <t xml:space="preserve">TAFTIE </t>
  </si>
  <si>
    <t>דמי חבר TAFTIE - 2021 , 10000 אירו</t>
  </si>
  <si>
    <t>מו"פ בינלאומי</t>
  </si>
  <si>
    <t>בינלאומי</t>
  </si>
  <si>
    <t>דיול לאירוע נצרת- תמחור לפי מכרז</t>
  </si>
  <si>
    <t>תפן יזמות בע"מ</t>
  </si>
  <si>
    <t>גן התעשייה נצרת- אירוע נצרת 10/06</t>
  </si>
  <si>
    <t>פטיט פוד</t>
  </si>
  <si>
    <t>כיבוד לאירוע נצרת</t>
  </si>
  <si>
    <t>שידור היברידי אירוע נצרת</t>
  </si>
  <si>
    <t>מגלקום</t>
  </si>
  <si>
    <t xml:space="preserve">בקרות כניסה ל מתחם קלאוזנר </t>
  </si>
  <si>
    <t>אופירה ונטורה   </t>
  </si>
  <si>
    <t xml:space="preserve">תמלול   בכתב במהלך אירוע  עזרטק בזום </t>
  </si>
  <si>
    <t>בינת סמך</t>
  </si>
  <si>
    <t>הצפנה ל 180 ניידי הרשות, מחיר ל 36 חודשים</t>
  </si>
  <si>
    <t xml:space="preserve">ווטירו </t>
  </si>
  <si>
    <t>שירותי בדיקת קבצים</t>
  </si>
  <si>
    <r>
      <t>MTEC</t>
    </r>
    <r>
      <rPr>
        <sz val="11"/>
        <color theme="1"/>
        <rFont val="Arial"/>
        <family val="2"/>
        <scheme val="minor"/>
      </rPr>
      <t xml:space="preserve"> </t>
    </r>
  </si>
  <si>
    <t xml:space="preserve">ארגון במימון פדרלי לפיתוח טכנולוגיות רפואיות לטובת צבא ארה"ב. </t>
  </si>
  <si>
    <t>וואן טכנולוגיות</t>
  </si>
  <si>
    <t>הרחבת התקשרות</t>
  </si>
  <si>
    <t>שיפוץ קלאוזנר 14</t>
  </si>
  <si>
    <t xml:space="preserve">יעל תוכנה </t>
  </si>
  <si>
    <t xml:space="preserve">רישוי Creator </t>
  </si>
  <si>
    <t>פרטנר תקשרות</t>
  </si>
  <si>
    <t xml:space="preserve">הגדלת ההזמנה לפרטנר עימם אנו עובדים בעבור שיחות לחו"ל ו נתב אלחוטי </t>
  </si>
  <si>
    <t>4502034090 / 4502013105</t>
  </si>
  <si>
    <t>אלעד מערכות</t>
  </si>
  <si>
    <t xml:space="preserve">מיקור חוץ גרטה </t>
  </si>
  <si>
    <t xml:space="preserve">אמיוס </t>
  </si>
  <si>
    <t xml:space="preserve">הרחבת התקשרות שעות תכנות </t>
  </si>
  <si>
    <t xml:space="preserve">מינוי לדרור </t>
  </si>
  <si>
    <t>חיון טכנולוגיות</t>
  </si>
  <si>
    <t xml:space="preserve">מסכי מחשב במקום ההזמנה של מטריקס </t>
  </si>
  <si>
    <t>סודרי</t>
  </si>
  <si>
    <t>אייפד לדרור</t>
  </si>
  <si>
    <t>פיאלקוב</t>
  </si>
  <si>
    <t>טיפול נקודתי בתכנים לבלוג באתר רשות החדשנות</t>
  </si>
  <si>
    <t>בי אול סנטר</t>
  </si>
  <si>
    <t>חניה לדרור</t>
  </si>
  <si>
    <t>שרון שליט</t>
  </si>
  <si>
    <t xml:space="preserve">עבור עריכת מצגת לעמי , יו"ר הרשות </t>
  </si>
  <si>
    <t>ידיעות אחרונות</t>
  </si>
  <si>
    <t>מנוי דיגיטאלי לעיתון כלכליסט</t>
  </si>
  <si>
    <t>מסיעי שאשא</t>
  </si>
  <si>
    <t>הרחבת התקשרות- 2021</t>
  </si>
  <si>
    <t>תאריך עדכון</t>
  </si>
  <si>
    <t>פעילות</t>
  </si>
  <si>
    <t>מסמך</t>
  </si>
  <si>
    <t>שורה</t>
  </si>
  <si>
    <t>תיאור שורה</t>
  </si>
  <si>
    <t>השפעה על תקציב מזומנים</t>
  </si>
  <si>
    <t>פרטי תנועה</t>
  </si>
  <si>
    <t>יתרה ל- 30.04.2021</t>
  </si>
  <si>
    <t/>
  </si>
  <si>
    <t>0</t>
  </si>
  <si>
    <t>03.05.2021</t>
  </si>
  <si>
    <t>הזמנת רכש</t>
  </si>
  <si>
    <t>4501988636</t>
  </si>
  <si>
    <t>20</t>
  </si>
  <si>
    <t>מערכת רישום כנסים</t>
  </si>
  <si>
    <t>יצירה/שינוי</t>
  </si>
  <si>
    <t>סה"כ ל- 03.05.2021</t>
  </si>
  <si>
    <t>יתרה ל- 03.05.2021</t>
  </si>
  <si>
    <t>05.05.2021</t>
  </si>
  <si>
    <t>4502028486</t>
  </si>
  <si>
    <t>10</t>
  </si>
  <si>
    <t>דייל</t>
  </si>
  <si>
    <t>נסיעות</t>
  </si>
  <si>
    <t>30</t>
  </si>
  <si>
    <t>תגים</t>
  </si>
  <si>
    <t>סה"כ ל- 05.05.2021</t>
  </si>
  <si>
    <t>יתרה ל- 05.05.2021</t>
  </si>
  <si>
    <t>07.05.2021</t>
  </si>
  <si>
    <t>4501971541</t>
  </si>
  <si>
    <t>פרסום והסברה</t>
  </si>
  <si>
    <t>הצמדה/שערוך</t>
  </si>
  <si>
    <t>סה"כ ל- 07.05.2021</t>
  </si>
  <si>
    <t>יתרה ל- 07.05.2021</t>
  </si>
  <si>
    <t>10.05.2021</t>
  </si>
  <si>
    <t>4502014736</t>
  </si>
  <si>
    <t>שת"פ יום העצמאות 73</t>
  </si>
  <si>
    <t>חריגה/סגירה</t>
  </si>
  <si>
    <t>4502030325</t>
  </si>
  <si>
    <t>יצירה/שינוי, חריגה/סגירה</t>
  </si>
  <si>
    <t>סה"כ ל- 10.05.2021</t>
  </si>
  <si>
    <t>יתרה ל- 10.05.2021</t>
  </si>
  <si>
    <t>14.05.2021</t>
  </si>
  <si>
    <t>סה"כ ל- 14.05.2021</t>
  </si>
  <si>
    <t>יתרה ל- 14.05.2021</t>
  </si>
  <si>
    <t>21.05.2021</t>
  </si>
  <si>
    <t>סה"כ ל- 21.05.2021</t>
  </si>
  <si>
    <t>יתרה ל- 21.05.2021</t>
  </si>
  <si>
    <t>23.05.2021</t>
  </si>
  <si>
    <t>4502033633</t>
  </si>
  <si>
    <t>כיבוד</t>
  </si>
  <si>
    <t>סה"כ ל- 23.05.2021</t>
  </si>
  <si>
    <t>יתרה ל- 23.05.2021</t>
  </si>
  <si>
    <t>24.05.2021</t>
  </si>
  <si>
    <t>4502034300</t>
  </si>
  <si>
    <t>טיפול ב-10 מאמרים</t>
  </si>
  <si>
    <t>ריטיינר תחזוקה וקידום SEO</t>
  </si>
  <si>
    <t>סה"כ ל- 24.05.2021</t>
  </si>
  <si>
    <t>יתרה ל- 24.05.2021</t>
  </si>
  <si>
    <t>26.05.2021</t>
  </si>
  <si>
    <t>4502035116</t>
  </si>
  <si>
    <t>שירותי עיצוב</t>
  </si>
  <si>
    <t>סה"כ ל- 26.05.2021</t>
  </si>
  <si>
    <t>יתרה ל- 26.05.2021</t>
  </si>
  <si>
    <t>28.05.2021</t>
  </si>
  <si>
    <t>סה"כ ל- 28.05.2021</t>
  </si>
  <si>
    <t>יתרה ל- 28.05.2021</t>
  </si>
  <si>
    <t>30.05.2021</t>
  </si>
  <si>
    <t>4502036066</t>
  </si>
  <si>
    <t>אולם כנסים  (אודיטוריום)</t>
  </si>
  <si>
    <t>סה"כ ל- 30.05.2021</t>
  </si>
  <si>
    <t>יתרה ל- 30.05.2021</t>
  </si>
  <si>
    <t>01.06.2021</t>
  </si>
  <si>
    <t>4502015925</t>
  </si>
  <si>
    <t>סרטון פינטק</t>
  </si>
  <si>
    <t>סה"כ ל- 01.06.2021</t>
  </si>
  <si>
    <t>יתרה ל- 01.06.2021</t>
  </si>
  <si>
    <t>הגדלת הזמנה- שימוש במערכת – eventact - 2021 מערכת רישום כנסים</t>
  </si>
  <si>
    <t>Row Labels</t>
  </si>
  <si>
    <t xml:space="preserve">MTEC </t>
  </si>
  <si>
    <t>(blank)</t>
  </si>
  <si>
    <t>Grand Total</t>
  </si>
  <si>
    <t xml:space="preserve">Sum of שווי שורה/ הגדלה </t>
  </si>
  <si>
    <t>כנסים</t>
  </si>
  <si>
    <t>שיווק תכנים</t>
  </si>
  <si>
    <t>הוצאות מחשוב</t>
  </si>
  <si>
    <t xml:space="preserve">מיקור חוץ- מיחשוב </t>
  </si>
  <si>
    <t>הרחבת והארכת התקשרות- שירותי הסעות</t>
  </si>
  <si>
    <t>דמי חבר- 2021</t>
  </si>
  <si>
    <t xml:space="preserve">דיור- שיפוץ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</si>
</sst>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0.0"/>
  </numFmts>
  <fonts count="31" x14ac:knownFonts="1">
    <font>
      <sz val="11"/>
      <color theme="1"/>
      <name val="Arial"/>
      <family val="2"/>
      <charset val="177"/>
      <scheme val="minor"/>
    </font>
    <font>
      <sz val="11"/>
      <color theme="1"/>
      <name val="Arial"/>
      <family val="2"/>
      <scheme val="minor"/>
    </font>
    <font>
      <sz val="10"/>
      <name val="Arial"/>
      <family val="2"/>
    </font>
    <font>
      <sz val="11"/>
      <color rgb="FFFF0000"/>
      <name val="Arial"/>
      <family val="2"/>
      <charset val="177"/>
      <scheme val="minor"/>
    </font>
    <font>
      <sz val="10"/>
      <color theme="1"/>
      <name val="Times New Roman"/>
      <family val="1"/>
    </font>
    <font>
      <b/>
      <sz val="11"/>
      <color rgb="FFFFFFFF"/>
      <name val="Arial"/>
      <family val="2"/>
      <scheme val="minor"/>
    </font>
    <font>
      <sz val="11"/>
      <color theme="1"/>
      <name val="David"/>
      <family val="2"/>
      <charset val="177"/>
    </font>
    <font>
      <b/>
      <sz val="12"/>
      <color rgb="FF000000"/>
      <name val="David"/>
      <family val="2"/>
      <charset val="177"/>
    </font>
    <font>
      <sz val="12"/>
      <color rgb="FF5A5A5A"/>
      <name val="David"/>
      <family val="2"/>
      <charset val="177"/>
    </font>
    <font>
      <sz val="12"/>
      <color theme="1"/>
      <name val="David"/>
      <family val="2"/>
      <charset val="177"/>
    </font>
    <font>
      <sz val="10"/>
      <color theme="1"/>
      <name val="David"/>
      <family val="2"/>
      <charset val="177"/>
    </font>
    <font>
      <sz val="8"/>
      <color theme="1"/>
      <name val="Arial"/>
      <family val="2"/>
      <charset val="177"/>
      <scheme val="minor"/>
    </font>
    <font>
      <sz val="11"/>
      <name val="David"/>
      <family val="2"/>
      <charset val="177"/>
    </font>
    <font>
      <sz val="11"/>
      <color theme="1"/>
      <name val="Arial"/>
      <family val="2"/>
      <charset val="177"/>
      <scheme val="minor"/>
    </font>
    <font>
      <sz val="10"/>
      <name val="Arial"/>
      <family val="2"/>
    </font>
    <font>
      <sz val="10"/>
      <name val="Arial"/>
      <family val="2"/>
    </font>
    <font>
      <sz val="12"/>
      <name val="David"/>
      <family val="2"/>
      <charset val="177"/>
    </font>
    <font>
      <sz val="10"/>
      <name val="Arial"/>
      <family val="2"/>
    </font>
    <font>
      <sz val="11"/>
      <color theme="1"/>
      <name val="Arial"/>
      <family val="2"/>
      <scheme val="minor"/>
    </font>
    <font>
      <sz val="10"/>
      <name val="Arial"/>
      <family val="2"/>
    </font>
    <font>
      <sz val="10"/>
      <name val="Arial"/>
      <family val="2"/>
    </font>
    <font>
      <sz val="11"/>
      <color theme="1"/>
      <name val="David"/>
      <family val="2"/>
    </font>
    <font>
      <b/>
      <sz val="11"/>
      <color theme="1"/>
      <name val="Arial"/>
      <family val="2"/>
      <scheme val="minor"/>
    </font>
    <font>
      <b/>
      <sz val="8"/>
      <color theme="1"/>
      <name val="Arial"/>
      <family val="2"/>
      <scheme val="minor"/>
    </font>
    <font>
      <b/>
      <sz val="6"/>
      <color theme="1"/>
      <name val="Arial"/>
      <family val="2"/>
      <scheme val="minor"/>
    </font>
    <font>
      <sz val="11"/>
      <color rgb="FFFF0000"/>
      <name val="Arial"/>
      <family val="2"/>
      <scheme val="minor"/>
    </font>
    <font>
      <sz val="11"/>
      <color theme="1"/>
      <name val="Calibri"/>
      <family val="2"/>
    </font>
    <font>
      <sz val="11"/>
      <color theme="1"/>
      <name val="Arial"/>
      <family val="2"/>
    </font>
    <font>
      <sz val="10"/>
      <name val="Arial"/>
    </font>
    <font>
      <sz val="11"/>
      <color rgb="FFFF0000"/>
      <name val="Calibri"/>
      <family val="2"/>
    </font>
    <font>
      <sz val="11"/>
      <color rgb="FFFF0000"/>
      <name val="Arial"/>
      <family val="2"/>
    </font>
  </fonts>
  <fills count="5">
    <fill>
      <patternFill patternType="none"/>
    </fill>
    <fill>
      <patternFill patternType="gray125"/>
    </fill>
    <fill>
      <patternFill patternType="solid">
        <fgColor rgb="FFFFCCCC"/>
        <bgColor indexed="64"/>
      </patternFill>
    </fill>
    <fill>
      <patternFill patternType="solid">
        <fgColor rgb="FF00CC99"/>
        <bgColor indexed="64"/>
      </patternFill>
    </fill>
    <fill>
      <patternFill patternType="solid">
        <fgColor indexed="2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13">
    <xf numFmtId="0" fontId="0" fillId="0" borderId="0"/>
    <xf numFmtId="43" fontId="13" fillId="0" borderId="0" applyFont="0" applyFill="0" applyBorder="0" applyAlignment="0" applyProtection="0"/>
    <xf numFmtId="0" fontId="2" fillId="0" borderId="0"/>
    <xf numFmtId="44" fontId="13" fillId="0" borderId="0" applyFont="0" applyFill="0" applyBorder="0" applyAlignment="0" applyProtection="0"/>
    <xf numFmtId="0" fontId="14" fillId="0" borderId="0"/>
    <xf numFmtId="0" fontId="15" fillId="0" borderId="0"/>
    <xf numFmtId="43" fontId="13" fillId="0" borderId="0" applyFont="0" applyFill="0" applyBorder="0" applyAlignment="0" applyProtection="0"/>
    <xf numFmtId="0" fontId="2" fillId="0" borderId="0"/>
    <xf numFmtId="0" fontId="17" fillId="0" borderId="0"/>
    <xf numFmtId="0" fontId="19" fillId="0" borderId="0"/>
    <xf numFmtId="0" fontId="20" fillId="0" borderId="0"/>
    <xf numFmtId="9" fontId="13" fillId="0" borderId="0" applyFont="0" applyFill="0" applyBorder="0" applyAlignment="0" applyProtection="0"/>
    <xf numFmtId="0" fontId="28" fillId="0" borderId="0"/>
  </cellStyleXfs>
  <cellXfs count="82">
    <xf numFmtId="0" fontId="0" fillId="0" borderId="0" xfId="0"/>
    <xf numFmtId="0" fontId="4" fillId="0" borderId="0" xfId="0" applyFont="1"/>
    <xf numFmtId="0" fontId="5" fillId="0" borderId="0" xfId="0" applyFont="1" applyAlignment="1">
      <alignment vertical="center" readingOrder="2"/>
    </xf>
    <xf numFmtId="0" fontId="6" fillId="0" borderId="0" xfId="0" applyFont="1"/>
    <xf numFmtId="0" fontId="7" fillId="0" borderId="2" xfId="0" applyFont="1" applyBorder="1" applyAlignment="1">
      <alignment horizontal="right" vertical="center" readingOrder="2"/>
    </xf>
    <xf numFmtId="0" fontId="8" fillId="0" borderId="5" xfId="0" applyFont="1" applyBorder="1" applyAlignment="1">
      <alignment vertical="center" readingOrder="2"/>
    </xf>
    <xf numFmtId="0" fontId="9" fillId="0" borderId="4" xfId="0" applyFont="1" applyBorder="1" applyAlignment="1">
      <alignment vertical="center" readingOrder="2"/>
    </xf>
    <xf numFmtId="0" fontId="9" fillId="0" borderId="5" xfId="0" applyFont="1" applyBorder="1" applyAlignment="1">
      <alignment vertical="center" readingOrder="2"/>
    </xf>
    <xf numFmtId="0" fontId="10" fillId="0" borderId="4" xfId="0" applyFont="1" applyBorder="1"/>
    <xf numFmtId="0" fontId="10" fillId="0" borderId="5" xfId="0" applyFont="1" applyBorder="1"/>
    <xf numFmtId="0" fontId="6" fillId="0" borderId="6" xfId="0" applyFont="1" applyBorder="1"/>
    <xf numFmtId="0" fontId="6" fillId="0" borderId="7" xfId="0" applyFont="1" applyBorder="1"/>
    <xf numFmtId="0" fontId="0" fillId="0" borderId="0" xfId="0" applyAlignment="1">
      <alignment horizontal="center" vertical="center"/>
    </xf>
    <xf numFmtId="0" fontId="0" fillId="0" borderId="0" xfId="0" applyAlignment="1">
      <alignment horizontal="center" vertical="center" wrapText="1"/>
    </xf>
    <xf numFmtId="0" fontId="12" fillId="0" borderId="0" xfId="0" applyFont="1"/>
    <xf numFmtId="0" fontId="6" fillId="0" borderId="0" xfId="0" applyFont="1" applyAlignment="1">
      <alignment wrapText="1"/>
    </xf>
    <xf numFmtId="43" fontId="6" fillId="0" borderId="0" xfId="1" applyFont="1"/>
    <xf numFmtId="0" fontId="3" fillId="0" borderId="0" xfId="0" applyFont="1"/>
    <xf numFmtId="0" fontId="7" fillId="0" borderId="3" xfId="0" applyFont="1" applyBorder="1" applyAlignment="1">
      <alignment horizontal="center" vertical="center" wrapText="1" readingOrder="2"/>
    </xf>
    <xf numFmtId="0" fontId="6" fillId="0" borderId="0" xfId="0" applyFont="1" applyAlignment="1">
      <alignment horizontal="right" wrapText="1" readingOrder="2"/>
    </xf>
    <xf numFmtId="0" fontId="16" fillId="0" borderId="4" xfId="0" applyFont="1" applyBorder="1" applyAlignment="1">
      <alignment vertical="center" readingOrder="2"/>
    </xf>
    <xf numFmtId="43" fontId="9" fillId="0" borderId="0" xfId="1" applyFont="1" applyFill="1" applyAlignment="1">
      <alignment wrapText="1"/>
    </xf>
    <xf numFmtId="0" fontId="0" fillId="0" borderId="0" xfId="0" applyAlignment="1">
      <alignment wrapText="1"/>
    </xf>
    <xf numFmtId="43" fontId="0" fillId="0" borderId="0" xfId="1" applyFont="1"/>
    <xf numFmtId="0" fontId="0" fillId="0" borderId="1" xfId="0" applyBorder="1" applyAlignment="1">
      <alignment wrapText="1"/>
    </xf>
    <xf numFmtId="43" fontId="0" fillId="0" borderId="0" xfId="1" applyFont="1" applyAlignment="1">
      <alignment horizontal="center" vertical="center" wrapText="1"/>
    </xf>
    <xf numFmtId="43" fontId="0" fillId="0" borderId="0" xfId="1" applyFont="1" applyAlignment="1">
      <alignment wrapText="1"/>
    </xf>
    <xf numFmtId="0" fontId="21" fillId="0" borderId="0" xfId="0" applyFont="1" applyAlignment="1">
      <alignment wrapText="1"/>
    </xf>
    <xf numFmtId="43" fontId="21" fillId="0" borderId="0" xfId="1" applyFont="1"/>
    <xf numFmtId="0" fontId="0" fillId="0" borderId="0" xfId="0" applyAlignment="1">
      <alignment horizontal="right" wrapText="1"/>
    </xf>
    <xf numFmtId="43" fontId="0" fillId="0" borderId="0" xfId="1" applyFont="1" applyAlignment="1">
      <alignment horizontal="right" wrapText="1"/>
    </xf>
    <xf numFmtId="0" fontId="0" fillId="0" borderId="8" xfId="0" applyBorder="1" applyAlignment="1">
      <alignment wrapText="1"/>
    </xf>
    <xf numFmtId="43" fontId="0" fillId="0" borderId="8" xfId="1" applyFont="1" applyBorder="1" applyAlignment="1">
      <alignment wrapText="1"/>
    </xf>
    <xf numFmtId="43" fontId="0" fillId="0" borderId="8" xfId="0" applyNumberFormat="1" applyBorder="1" applyAlignment="1">
      <alignment wrapText="1"/>
    </xf>
    <xf numFmtId="2" fontId="22" fillId="3" borderId="8" xfId="0" applyNumberFormat="1"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43" fontId="22" fillId="3" borderId="10" xfId="1" applyFont="1" applyFill="1" applyBorder="1" applyAlignment="1">
      <alignment horizontal="center" vertical="center" wrapText="1"/>
    </xf>
    <xf numFmtId="4" fontId="22" fillId="3" borderId="11" xfId="1" applyNumberFormat="1" applyFont="1" applyFill="1" applyBorder="1" applyAlignment="1">
      <alignment horizontal="center" vertical="center" wrapText="1"/>
    </xf>
    <xf numFmtId="43" fontId="24" fillId="2" borderId="0" xfId="1" applyFont="1" applyFill="1" applyAlignment="1">
      <alignment horizontal="center" vertical="center" wrapText="1"/>
    </xf>
    <xf numFmtId="9" fontId="24" fillId="2" borderId="0" xfId="11" applyFont="1" applyFill="1" applyAlignment="1">
      <alignment horizontal="center" vertical="center" wrapText="1"/>
    </xf>
    <xf numFmtId="0" fontId="22" fillId="0" borderId="0" xfId="0" applyFont="1" applyAlignment="1">
      <alignment horizontal="center" vertical="center" wrapText="1"/>
    </xf>
    <xf numFmtId="4" fontId="0" fillId="0" borderId="0" xfId="0" applyNumberFormat="1" applyAlignment="1">
      <alignment wrapText="1"/>
    </xf>
    <xf numFmtId="2" fontId="0" fillId="0" borderId="0" xfId="0" applyNumberFormat="1" applyAlignment="1">
      <alignment wrapText="1"/>
    </xf>
    <xf numFmtId="43" fontId="0" fillId="0" borderId="1" xfId="1" applyFont="1" applyBorder="1" applyAlignment="1">
      <alignment wrapText="1"/>
    </xf>
    <xf numFmtId="43" fontId="0" fillId="0" borderId="1" xfId="0" applyNumberFormat="1" applyBorder="1" applyAlignment="1">
      <alignment wrapText="1"/>
    </xf>
    <xf numFmtId="4" fontId="3" fillId="0" borderId="1" xfId="1" applyNumberFormat="1" applyFont="1" applyBorder="1" applyAlignment="1">
      <alignment wrapText="1"/>
    </xf>
    <xf numFmtId="0" fontId="3" fillId="0" borderId="1" xfId="0" applyFont="1" applyBorder="1" applyAlignment="1">
      <alignment wrapText="1"/>
    </xf>
    <xf numFmtId="0" fontId="3" fillId="0" borderId="0" xfId="0" applyFont="1" applyAlignment="1">
      <alignment wrapText="1"/>
    </xf>
    <xf numFmtId="0" fontId="25" fillId="0" borderId="1" xfId="0" applyFont="1" applyBorder="1" applyAlignment="1">
      <alignment wrapText="1"/>
    </xf>
    <xf numFmtId="43" fontId="25" fillId="0" borderId="1" xfId="1" applyFont="1" applyBorder="1" applyAlignment="1">
      <alignment wrapText="1"/>
    </xf>
    <xf numFmtId="0" fontId="25" fillId="0" borderId="1" xfId="0" applyFont="1" applyBorder="1"/>
    <xf numFmtId="0" fontId="25" fillId="0" borderId="0" xfId="0" applyFont="1" applyAlignment="1">
      <alignment wrapText="1"/>
    </xf>
    <xf numFmtId="2" fontId="3" fillId="0" borderId="8" xfId="0" applyNumberFormat="1" applyFont="1" applyBorder="1" applyAlignment="1">
      <alignment wrapText="1"/>
    </xf>
    <xf numFmtId="0" fontId="3" fillId="0" borderId="8" xfId="0" applyFont="1" applyBorder="1" applyAlignment="1">
      <alignment wrapText="1"/>
    </xf>
    <xf numFmtId="43" fontId="3" fillId="0" borderId="8" xfId="1" applyFont="1" applyBorder="1" applyAlignment="1">
      <alignment wrapText="1"/>
    </xf>
    <xf numFmtId="2" fontId="25" fillId="0" borderId="8" xfId="0" applyNumberFormat="1" applyFont="1" applyBorder="1" applyAlignment="1">
      <alignment wrapText="1"/>
    </xf>
    <xf numFmtId="0" fontId="25" fillId="0" borderId="8" xfId="0" applyFont="1" applyBorder="1" applyAlignment="1">
      <alignment wrapText="1"/>
    </xf>
    <xf numFmtId="43" fontId="25" fillId="0" borderId="8" xfId="1" applyFont="1" applyBorder="1" applyAlignment="1">
      <alignment wrapText="1"/>
    </xf>
    <xf numFmtId="4" fontId="25" fillId="0" borderId="1" xfId="1" applyNumberFormat="1" applyFont="1" applyBorder="1" applyAlignment="1">
      <alignment wrapText="1"/>
    </xf>
    <xf numFmtId="0" fontId="25" fillId="0" borderId="0" xfId="0" applyFont="1"/>
    <xf numFmtId="0" fontId="25" fillId="0" borderId="12" xfId="0" applyFont="1" applyBorder="1" applyAlignment="1">
      <alignment wrapText="1"/>
    </xf>
    <xf numFmtId="43" fontId="25" fillId="0" borderId="12" xfId="1" applyFont="1" applyBorder="1" applyAlignment="1">
      <alignment wrapText="1"/>
    </xf>
    <xf numFmtId="2" fontId="0" fillId="0" borderId="8" xfId="0" applyNumberFormat="1" applyBorder="1" applyAlignment="1">
      <alignment wrapText="1"/>
    </xf>
    <xf numFmtId="4" fontId="0" fillId="0" borderId="1" xfId="1" applyNumberFormat="1" applyFont="1" applyBorder="1" applyAlignment="1">
      <alignment wrapText="1"/>
    </xf>
    <xf numFmtId="0" fontId="18" fillId="0" borderId="1" xfId="0" applyFont="1" applyBorder="1" applyAlignment="1">
      <alignment wrapText="1"/>
    </xf>
    <xf numFmtId="0" fontId="26" fillId="0" borderId="8" xfId="0" applyFont="1" applyBorder="1" applyAlignment="1">
      <alignment wrapText="1"/>
    </xf>
    <xf numFmtId="0" fontId="27" fillId="0" borderId="0" xfId="0" applyFont="1" applyAlignment="1">
      <alignment horizontal="right" vertical="center" readingOrder="2"/>
    </xf>
    <xf numFmtId="0" fontId="0" fillId="0" borderId="8" xfId="0" applyFill="1" applyBorder="1" applyAlignment="1">
      <alignment wrapText="1"/>
    </xf>
    <xf numFmtId="4" fontId="0" fillId="0" borderId="8" xfId="1" applyNumberFormat="1" applyFont="1" applyBorder="1" applyAlignment="1">
      <alignment wrapText="1"/>
    </xf>
    <xf numFmtId="0" fontId="28" fillId="0" borderId="0" xfId="12" applyAlignment="1">
      <alignment vertical="top"/>
    </xf>
    <xf numFmtId="0" fontId="28" fillId="4" borderId="1" xfId="12" applyFill="1" applyBorder="1" applyAlignment="1">
      <alignment vertical="top"/>
    </xf>
    <xf numFmtId="4" fontId="28" fillId="0" borderId="0" xfId="12" applyNumberFormat="1" applyAlignment="1">
      <alignment horizontal="right" vertical="top"/>
    </xf>
    <xf numFmtId="3" fontId="28" fillId="0" borderId="0" xfId="12" applyNumberFormat="1" applyAlignment="1">
      <alignment horizontal="right" vertical="top"/>
    </xf>
    <xf numFmtId="164" fontId="28" fillId="0" borderId="0" xfId="12" applyNumberFormat="1" applyAlignment="1">
      <alignment horizontal="right" vertical="top"/>
    </xf>
    <xf numFmtId="0" fontId="28" fillId="4" borderId="1" xfId="12" applyFill="1" applyBorder="1" applyAlignment="1">
      <alignment vertical="top" wrapText="1"/>
    </xf>
    <xf numFmtId="0" fontId="0" fillId="0" borderId="0" xfId="0" pivotButton="1"/>
    <xf numFmtId="0" fontId="0" fillId="0" borderId="0" xfId="0" applyAlignment="1">
      <alignment horizontal="right"/>
    </xf>
    <xf numFmtId="0" fontId="0" fillId="0" borderId="0" xfId="0" applyAlignment="1">
      <alignment horizontal="right" indent="1"/>
    </xf>
    <xf numFmtId="0" fontId="0" fillId="0" borderId="0" xfId="0" applyAlignment="1">
      <alignment horizontal="right" indent="2"/>
    </xf>
    <xf numFmtId="0" fontId="29" fillId="0" borderId="8" xfId="0" applyFont="1" applyBorder="1" applyAlignment="1">
      <alignment wrapText="1"/>
    </xf>
    <xf numFmtId="0" fontId="30" fillId="0" borderId="0" xfId="0" applyFont="1"/>
  </cellXfs>
  <cellStyles count="13">
    <cellStyle name="Comma" xfId="1" builtinId="3"/>
    <cellStyle name="Comma 2" xfId="6" xr:uid="{00000000-0005-0000-0000-000001000000}"/>
    <cellStyle name="Currency 2" xfId="3" xr:uid="{00000000-0005-0000-0000-000002000000}"/>
    <cellStyle name="Normal" xfId="0" builtinId="0"/>
    <cellStyle name="Normal 2" xfId="2" xr:uid="{00000000-0005-0000-0000-000004000000}"/>
    <cellStyle name="Normal 3" xfId="4" xr:uid="{00000000-0005-0000-0000-000005000000}"/>
    <cellStyle name="Normal 3 2" xfId="7" xr:uid="{00000000-0005-0000-0000-000006000000}"/>
    <cellStyle name="Normal 4" xfId="5" xr:uid="{00000000-0005-0000-0000-000007000000}"/>
    <cellStyle name="Normal 5" xfId="8" xr:uid="{00000000-0005-0000-0000-000008000000}"/>
    <cellStyle name="Normal 6" xfId="9" xr:uid="{2F1738C3-ADEC-4A97-8EE0-663ED95AE09F}"/>
    <cellStyle name="Normal 7" xfId="10" xr:uid="{3CAFDB79-A9FD-4AD0-8C8C-80EF31E6537D}"/>
    <cellStyle name="Normal 8" xfId="12" xr:uid="{9E704763-5DE6-44DD-AF20-F9845AED0C6C}"/>
    <cellStyle name="Percent" xfId="11" builtinId="5"/>
  </cellStyles>
  <dxfs count="50">
    <dxf>
      <font>
        <b val="0"/>
        <i val="0"/>
        <strike val="0"/>
        <u val="none"/>
        <sz val="11"/>
        <color theme="1"/>
        <name val="David"/>
      </font>
    </dxf>
    <dxf>
      <font>
        <b val="0"/>
        <i val="0"/>
        <strike val="0"/>
        <condense val="0"/>
        <extend val="0"/>
        <outline val="0"/>
        <shadow val="0"/>
        <u val="none"/>
        <vertAlign val="baseline"/>
        <sz val="11"/>
        <color theme="1"/>
        <name val="David"/>
        <scheme val="none"/>
      </font>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scheme val="none"/>
      </font>
    </dxf>
    <dxf>
      <font>
        <b val="0"/>
        <i val="0"/>
        <strike val="0"/>
        <u val="none"/>
        <sz val="11"/>
        <color rgb="FFFF0000"/>
        <name val="David"/>
      </font>
    </dxf>
    <dxf>
      <alignment horizontal="center" vertical="center" textRotation="0" wrapText="0" shrinkToFit="0" readingOrder="0"/>
    </dxf>
    <dxf>
      <font>
        <b val="0"/>
        <i val="0"/>
        <strike val="0"/>
        <u val="none"/>
        <sz val="11"/>
        <color theme="1"/>
        <name val="David"/>
      </font>
    </dxf>
    <dxf>
      <font>
        <b val="0"/>
        <i val="0"/>
        <strike val="0"/>
        <condense val="0"/>
        <extend val="0"/>
        <outline val="0"/>
        <shadow val="0"/>
        <u val="none"/>
        <vertAlign val="baseline"/>
        <sz val="11"/>
        <color theme="1"/>
        <name val="David"/>
        <scheme val="none"/>
      </font>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scheme val="none"/>
      </font>
    </dxf>
    <dxf>
      <font>
        <b val="0"/>
        <i val="0"/>
        <strike val="0"/>
        <u val="none"/>
        <sz val="11"/>
        <color rgb="FFFF0000"/>
        <name val="David"/>
      </font>
    </dxf>
    <dxf>
      <alignment horizontal="center" vertical="center" textRotation="0" wrapText="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charset val="177"/>
        <scheme val="minor"/>
      </font>
      <numFmt numFmtId="4"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4" formatCode="#,##0.0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textRotation="0" wrapText="1" indent="0" justifyLastLine="0" shrinkToFit="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textRotation="0" wrapText="1" indent="0" justifyLastLine="0" shrinkToFit="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textRotation="0" wrapText="1" indent="0" justifyLastLine="0" shrinkToFit="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textRotation="0" wrapText="1" indent="0" justifyLastLine="0" shrinkToFit="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35" formatCode="_ * #,##0.00_ ;_ * \-#,##0.00_ ;_ * &quot;-&quot;??_ ;_ @_ "/>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35" formatCode="_ * #,##0.00_ ;_ * \-#,##0.00_ ;_ * &quot;-&quot;??_ ;_ @_ "/>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theme="1"/>
        <name val="Arial"/>
        <family val="2"/>
        <charset val="177"/>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2"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2" formatCode="0.00"/>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border outline="0">
        <top style="thin">
          <color indexed="64"/>
        </top>
      </border>
    </dxf>
    <dxf>
      <font>
        <strike val="0"/>
        <outline val="0"/>
        <shadow val="0"/>
        <u val="none"/>
        <vertAlign val="baseline"/>
        <sz val="11"/>
        <color rgb="FFFF0000"/>
        <name val="Arial"/>
        <family val="2"/>
        <scheme val="minor"/>
      </font>
    </dxf>
    <dxf>
      <font>
        <b/>
        <i val="0"/>
        <strike val="0"/>
        <condense val="0"/>
        <extend val="0"/>
        <outline val="0"/>
        <shadow val="0"/>
        <u val="none"/>
        <vertAlign val="baseline"/>
        <sz val="11"/>
        <color theme="1"/>
        <name val="Arial"/>
        <scheme val="minor"/>
      </font>
      <fill>
        <patternFill patternType="solid">
          <fgColor indexed="64"/>
          <bgColor rgb="FF00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ra.v/Desktop/&#1511;&#1493;&#1489;&#1509;%20&#1492;&#1495;&#1512;&#1490;&#1493;&#1514;%202021-%20&#1497;&#1493;&#1504;&#149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ra.v/Documents/&#1514;&#1511;&#1510;&#1497;&#1489;/&#1511;&#1493;&#1489;&#1509;%20&#1492;&#1495;&#1512;&#1490;&#1493;&#1514;%202021-%20&#1508;&#1489;&#1512;&#1493;&#1488;&#15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ra.v/Documents/&#1492;&#1502;&#1506;&#1512;&#1498;%20&#1492;&#1496;&#1499;&#1504;&#1493;&#1500;&#1493;&#1490;&#1497;/&#1502;&#1506;&#1511;&#1489;%20&#1508;&#1506;&#1497;&#1500;&#1493;&#1514;%20&#1489;&#1493;&#1491;&#1511;&#1497;&#1501;%20&#1496;&#1499;&#1504;&#1493;&#1500;&#1493;&#1490;&#1497;&#1497;&#1501;_22.0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 val="סיווגי הערכה +GL"/>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row r="45">
          <cell r="N45">
            <v>2949415.3800000004</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שובי יתרה"/>
      <sheetName val="איסרד"/>
      <sheetName val="דוח 305"/>
      <sheetName val="דוח 103"/>
      <sheetName val="זוכי 2017"/>
      <sheetName val="זוכי 2019"/>
      <sheetName val="Excel1"/>
      <sheetName val="Excel2"/>
      <sheetName val="מכרז 04.2020"/>
      <sheetName val="מימושי אופציה יולי- 2020"/>
      <sheetName val="גיליון1"/>
      <sheetName val="גיליון1 (2)"/>
      <sheetName val="מימושי אופציה 02-21"/>
      <sheetName val="מימושי אופציה 03-21"/>
      <sheetName val="מימושי אופציה 04-21"/>
    </sheetNames>
    <sheetDataSet>
      <sheetData sheetId="0">
        <row r="21">
          <cell r="D21">
            <v>5630872.7412999999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ira Vegotzky" refreshedDate="44353.404730324073" createdVersion="7" refreshedVersion="7" minRefreshableVersion="3" recordCount="30" xr:uid="{A76AD3CA-23E0-42FB-B216-98771AFF044A}">
  <cacheSource type="worksheet">
    <worksheetSource name="Table1[[שם הספק ]:[הפרש יתרה שלא נוצלה מהחרגה]]"/>
  </cacheSource>
  <cacheFields count="14">
    <cacheField name="שם הספק " numFmtId="0">
      <sharedItems containsBlank="1" count="29">
        <s v="פלאפון תקשרות"/>
        <s v="eventact"/>
        <s v="אי די איי"/>
        <s v="עינת תעשיות מזון"/>
        <s v="טיקל סנטר"/>
        <s v="TAFTIE "/>
        <s v="קומפיוטרגארד"/>
        <s v="תפן יזמות בע&quot;מ"/>
        <s v="פטיט פוד"/>
        <m/>
        <s v="מגלקום"/>
        <s v="אופירה ונטורה   "/>
        <s v="בינת סמך"/>
        <s v="ווטירו "/>
        <s v="MTEC "/>
        <s v="וואן טכנולוגיות"/>
        <s v="מינהל הדיור "/>
        <s v="יעל תוכנה "/>
        <s v="פרטנר תקשרות"/>
        <s v="אלעד מערכות"/>
        <s v="אמיוס "/>
        <s v="עיתון הארץ"/>
        <s v="חיון טכנולוגיות"/>
        <s v="סודרי"/>
        <s v="פיאלקוב"/>
        <s v="בי אול סנטר"/>
        <s v="שרון שליט"/>
        <s v="ידיעות אחרונות"/>
        <s v="מסיעי שאשא"/>
      </sharedItems>
    </cacheField>
    <cacheField name="מטרת ההתקשרות " numFmtId="0">
      <sharedItems/>
    </cacheField>
    <cacheField name="סכום מבוקש בש&quot;ח כולל מעמ!!" numFmtId="43">
      <sharedItems containsSemiMixedTypes="0" containsString="0" containsNumber="1" minValue="327.59999999999997" maxValue="1259000"/>
    </cacheField>
    <cacheField name="סכום התקשרות מצטבר מול הספק (אם רלוונטי)" numFmtId="43">
      <sharedItems containsNonDate="0" containsString="0" containsBlank="1"/>
    </cacheField>
    <cacheField name="יתרה מתקרת ההתקשרות" numFmtId="43">
      <sharedItems containsSemiMixedTypes="0" containsString="0" containsNumber="1" containsInteger="1" minValue="200000" maxValue="200000"/>
    </cacheField>
    <cacheField name="אושר בוועדת חריגים (אם כן, לציין מס פנייה ותאריך אישור)" numFmtId="0">
      <sharedItems containsNonDate="0" containsString="0" containsBlank="1"/>
    </cacheField>
    <cacheField name="אושר בוועדת מכרזים (אם כן, לציין תאריך דיון)" numFmtId="0">
      <sharedItems containsNonDate="0" containsString="0" containsBlank="1"/>
    </cacheField>
    <cacheField name="תקנה/ פריט התחייבות" numFmtId="0">
      <sharedItems containsString="0" containsBlank="1" containsNumber="1" containsInteger="1" minValue="38300191" maxValue="38300402"/>
    </cacheField>
    <cacheField name="שם תקנה" numFmtId="0">
      <sharedItems containsBlank="1" count="3">
        <s v="תפעול"/>
        <s v="מו&quot;פ בינלאומי"/>
        <m/>
      </sharedItems>
    </cacheField>
    <cacheField name="מרכז קרנות" numFmtId="0">
      <sharedItems containsString="0" containsBlank="1" containsNumber="1" containsInteger="1" minValue="3690109" maxValue="36901024"/>
    </cacheField>
    <cacheField name="שם מרכז קרנות" numFmtId="0">
      <sharedItems containsBlank="1" count="7">
        <s v="משרדיות"/>
        <s v="שיווק"/>
        <s v="משאבי אנוש"/>
        <s v="בינלאומי"/>
        <s v="מחשוב "/>
        <m/>
        <s v="דיור"/>
      </sharedItems>
    </cacheField>
    <cacheField name="נוצרה/ הוגדלה התחייבות מספר" numFmtId="0">
      <sharedItems containsBlank="1" containsMixedTypes="1" containsNumber="1" containsInteger="1" minValue="4501765981" maxValue="4502036066"/>
    </cacheField>
    <cacheField name="שווי שורה/ הגדלה " numFmtId="43">
      <sharedItems containsString="0" containsBlank="1" containsNumber="1" minValue="327.60000000000002" maxValue="972057.45" count="25">
        <n v="23400"/>
        <m/>
        <n v="2340"/>
        <n v="972057.45"/>
        <n v="19890"/>
        <n v="1918"/>
        <n v="40000"/>
        <n v="1374.75"/>
        <n v="3710"/>
        <n v="22318"/>
        <n v="327.60000000000002"/>
        <n v="16637.400000000001"/>
        <n v="6084"/>
        <n v="400000"/>
        <n v="183000"/>
        <n v="1903"/>
        <n v="13785"/>
        <n v="175000"/>
        <n v="18543.52099999999"/>
        <n v="2607"/>
        <n v="5903.82"/>
        <n v="7605"/>
        <n v="14625"/>
        <n v="359.19"/>
        <n v="119974"/>
      </sharedItems>
    </cacheField>
    <cacheField name="הפרש יתרה שלא נוצלה מהחרגה" numFmtId="4">
      <sharedItems containsSemiMixedTypes="0" containsString="0" containsNumber="1" minValue="-970448.7" maxValue="859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
  <r>
    <x v="0"/>
    <s v="הגדלת התקשרות עבור רכישת 5 מכשירים"/>
    <n v="23400"/>
    <m/>
    <n v="200000"/>
    <m/>
    <m/>
    <n v="38300191"/>
    <x v="0"/>
    <n v="36901024"/>
    <x v="0"/>
    <n v="4502027137"/>
    <x v="0"/>
    <n v="0"/>
  </r>
  <r>
    <x v="1"/>
    <s v="הגדלת הזמנה- שימוש במערכת – eventact - 2021 מערכת רישום כנסים"/>
    <n v="5850"/>
    <m/>
    <n v="200000"/>
    <m/>
    <m/>
    <n v="38300191"/>
    <x v="0"/>
    <n v="3690112"/>
    <x v="1"/>
    <n v="4501988636"/>
    <x v="1"/>
    <n v="5850"/>
  </r>
  <r>
    <x v="2"/>
    <s v="מדבקות לרכבי הרשות"/>
    <n v="2340"/>
    <m/>
    <n v="200000"/>
    <m/>
    <m/>
    <n v="38300191"/>
    <x v="0"/>
    <n v="36901024"/>
    <x v="0"/>
    <n v="4502026579"/>
    <x v="2"/>
    <n v="0"/>
  </r>
  <r>
    <x v="3"/>
    <s v="כיבוד לשבועות"/>
    <n v="1608.75"/>
    <m/>
    <n v="200000"/>
    <m/>
    <m/>
    <n v="38300191"/>
    <x v="0"/>
    <n v="36901022"/>
    <x v="2"/>
    <n v="4502026576"/>
    <x v="3"/>
    <n v="-970448.7"/>
  </r>
  <r>
    <x v="2"/>
    <s v="הגדלת הזמנה- עיצוב לכרטיסי ביקור"/>
    <n v="3159"/>
    <m/>
    <n v="200000"/>
    <m/>
    <m/>
    <n v="38300191"/>
    <x v="0"/>
    <n v="36901024"/>
    <x v="0"/>
    <n v="4502014038"/>
    <x v="4"/>
    <n v="-16731"/>
  </r>
  <r>
    <x v="4"/>
    <s v="רכישה של 4 טלפונים נייחים"/>
    <n v="1918"/>
    <m/>
    <n v="200000"/>
    <m/>
    <m/>
    <n v="38300191"/>
    <x v="0"/>
    <n v="36901024"/>
    <x v="0"/>
    <n v="4502032522"/>
    <x v="5"/>
    <n v="0"/>
  </r>
  <r>
    <x v="5"/>
    <s v="דמי חבר TAFTIE - 2021 , 10000 אירו"/>
    <n v="40000"/>
    <m/>
    <n v="200000"/>
    <m/>
    <m/>
    <n v="38300402"/>
    <x v="1"/>
    <n v="3690109"/>
    <x v="3"/>
    <n v="4502027470"/>
    <x v="6"/>
    <n v="0"/>
  </r>
  <r>
    <x v="6"/>
    <s v="דיול לאירוע נצרת- תמחור לפי מכרז"/>
    <n v="1521"/>
    <m/>
    <n v="200000"/>
    <m/>
    <m/>
    <n v="38300191"/>
    <x v="0"/>
    <n v="3690112"/>
    <x v="1"/>
    <n v="4502028486"/>
    <x v="7"/>
    <n v="146.25"/>
  </r>
  <r>
    <x v="7"/>
    <s v="גן התעשייה נצרת- אירוע נצרת 10/06"/>
    <n v="2925"/>
    <m/>
    <n v="200000"/>
    <m/>
    <m/>
    <n v="38300191"/>
    <x v="0"/>
    <n v="3690112"/>
    <x v="1"/>
    <n v="4502036066"/>
    <x v="2"/>
    <n v="585"/>
  </r>
  <r>
    <x v="8"/>
    <s v="כיבוד לאירוע נצרת"/>
    <n v="3750"/>
    <m/>
    <n v="200000"/>
    <m/>
    <m/>
    <n v="38300191"/>
    <x v="0"/>
    <n v="3690112"/>
    <x v="1"/>
    <n v="4502033633"/>
    <x v="8"/>
    <n v="40"/>
  </r>
  <r>
    <x v="9"/>
    <s v="שידור היברידי אירוע נצרת"/>
    <n v="17013.605999999996"/>
    <m/>
    <n v="200000"/>
    <m/>
    <m/>
    <n v="38300191"/>
    <x v="0"/>
    <n v="3690112"/>
    <x v="1"/>
    <m/>
    <x v="1"/>
    <n v="17013.605999999996"/>
  </r>
  <r>
    <x v="10"/>
    <s v="בקרות כניסה ל מתחם קלאוזנר "/>
    <n v="22318.311599999997"/>
    <m/>
    <n v="200000"/>
    <m/>
    <m/>
    <n v="38300191"/>
    <x v="0"/>
    <n v="36901024"/>
    <x v="0"/>
    <n v="4502028295"/>
    <x v="9"/>
    <n v="0.31159999999727006"/>
  </r>
  <r>
    <x v="11"/>
    <s v="תמלול   בכתב במהלך אירוע  עזרטק בזום "/>
    <n v="327.59999999999997"/>
    <m/>
    <n v="200000"/>
    <m/>
    <m/>
    <n v="38300191"/>
    <x v="0"/>
    <n v="36901024"/>
    <x v="0"/>
    <n v="4502028313"/>
    <x v="10"/>
    <n v="0"/>
  </r>
  <r>
    <x v="12"/>
    <s v="הצפנה ל 180 ניידי הרשות, מחיר ל 36 חודשים"/>
    <n v="17043.39"/>
    <m/>
    <n v="200000"/>
    <m/>
    <m/>
    <n v="38300191"/>
    <x v="0"/>
    <n v="36901021"/>
    <x v="4"/>
    <n v="4502028305"/>
    <x v="11"/>
    <n v="405.98999999999796"/>
  </r>
  <r>
    <x v="13"/>
    <s v="שירותי בדיקת קבצים"/>
    <n v="6084"/>
    <m/>
    <n v="200000"/>
    <m/>
    <m/>
    <n v="38300191"/>
    <x v="0"/>
    <n v="36901021"/>
    <x v="4"/>
    <n v="4502027637"/>
    <x v="12"/>
    <n v="0"/>
  </r>
  <r>
    <x v="14"/>
    <s v="ארגון במימון פדרלי לפיתוח טכנולוגיות רפואיות לטובת צבא ארה&quot;ב. "/>
    <n v="1275"/>
    <m/>
    <n v="200000"/>
    <m/>
    <m/>
    <m/>
    <x v="2"/>
    <m/>
    <x v="5"/>
    <m/>
    <x v="1"/>
    <n v="1275"/>
  </r>
  <r>
    <x v="15"/>
    <s v="הרחבת התקשרות"/>
    <n v="1259000"/>
    <m/>
    <n v="200000"/>
    <m/>
    <m/>
    <n v="38300191"/>
    <x v="0"/>
    <n v="36901021"/>
    <x v="4"/>
    <n v="4501807483"/>
    <x v="13"/>
    <n v="859000"/>
  </r>
  <r>
    <x v="16"/>
    <s v="שיפוץ קלאוזנר 14"/>
    <n v="183000"/>
    <m/>
    <n v="200000"/>
    <m/>
    <m/>
    <n v="38300191"/>
    <x v="0"/>
    <n v="36901023"/>
    <x v="6"/>
    <n v="4502030582"/>
    <x v="14"/>
    <n v="0"/>
  </r>
  <r>
    <x v="17"/>
    <s v="רישוי Creator "/>
    <n v="1973.0879999999997"/>
    <m/>
    <n v="200000"/>
    <m/>
    <m/>
    <n v="38300191"/>
    <x v="0"/>
    <n v="36901021"/>
    <x v="4"/>
    <n v="4501966387"/>
    <x v="15"/>
    <n v="70.087999999999738"/>
  </r>
  <r>
    <x v="18"/>
    <s v="הגדלת ההזמנה לפרטנר עימם אנו עובדים בעבור שיחות לחו&quot;ל ו נתב אלחוטי "/>
    <n v="100000"/>
    <m/>
    <n v="200000"/>
    <m/>
    <m/>
    <n v="38300191"/>
    <x v="0"/>
    <n v="36901024"/>
    <x v="0"/>
    <s v="4502034090 / 4502013105"/>
    <x v="16"/>
    <n v="86215"/>
  </r>
  <r>
    <x v="19"/>
    <s v="מיקור חוץ גרטה "/>
    <n v="175000"/>
    <m/>
    <n v="200000"/>
    <m/>
    <m/>
    <n v="38300191"/>
    <x v="0"/>
    <n v="36901021"/>
    <x v="4"/>
    <n v="4501823379"/>
    <x v="17"/>
    <n v="0"/>
  </r>
  <r>
    <x v="20"/>
    <s v="הרחבת התקשרות שעות תכנות "/>
    <n v="7897.4999999999991"/>
    <m/>
    <n v="200000"/>
    <m/>
    <m/>
    <n v="38300191"/>
    <x v="0"/>
    <n v="36901021"/>
    <x v="4"/>
    <n v="4501963799"/>
    <x v="18"/>
    <n v="-10646.02099999999"/>
  </r>
  <r>
    <x v="21"/>
    <s v="מינוי לדרור "/>
    <n v="2607"/>
    <m/>
    <n v="200000"/>
    <m/>
    <m/>
    <n v="38300191"/>
    <x v="0"/>
    <n v="36901024"/>
    <x v="0"/>
    <n v="4502033109"/>
    <x v="19"/>
    <n v="0"/>
  </r>
  <r>
    <x v="22"/>
    <s v="מסכי מחשב במקום ההזמנה של מטריקס "/>
    <n v="3184.27"/>
    <m/>
    <n v="200000"/>
    <m/>
    <m/>
    <n v="38300191"/>
    <x v="0"/>
    <n v="36901021"/>
    <x v="4"/>
    <n v="4501997482"/>
    <x v="1"/>
    <n v="3184.27"/>
  </r>
  <r>
    <x v="23"/>
    <s v="אייפד לדרור"/>
    <n v="5904"/>
    <m/>
    <n v="200000"/>
    <m/>
    <m/>
    <n v="38300191"/>
    <x v="0"/>
    <n v="36901021"/>
    <x v="4"/>
    <n v="4502033627"/>
    <x v="20"/>
    <n v="0.18000000000029104"/>
  </r>
  <r>
    <x v="24"/>
    <s v="טיפול נקודתי בתכנים לבלוג באתר רשות החדשנות"/>
    <n v="7604.9999999999991"/>
    <m/>
    <n v="200000"/>
    <m/>
    <m/>
    <n v="38300191"/>
    <x v="0"/>
    <n v="3690112"/>
    <x v="1"/>
    <n v="4502034300"/>
    <x v="21"/>
    <n v="0"/>
  </r>
  <r>
    <x v="25"/>
    <s v="חניה לדרור"/>
    <n v="3500"/>
    <m/>
    <n v="200000"/>
    <m/>
    <m/>
    <n v="38300191"/>
    <x v="0"/>
    <n v="36901024"/>
    <x v="0"/>
    <n v="4502035077"/>
    <x v="2"/>
    <n v="1160"/>
  </r>
  <r>
    <x v="26"/>
    <s v="עבור עריכת מצגת לעמי , יו&quot;ר הרשות "/>
    <n v="14625"/>
    <m/>
    <n v="200000"/>
    <m/>
    <m/>
    <n v="38300191"/>
    <x v="0"/>
    <n v="3690112"/>
    <x v="1"/>
    <n v="4502035116"/>
    <x v="22"/>
    <n v="0"/>
  </r>
  <r>
    <x v="27"/>
    <s v="מנוי דיגיטאלי לעיתון כלכליסט"/>
    <n v="687.95999999999992"/>
    <m/>
    <n v="200000"/>
    <m/>
    <m/>
    <n v="38300191"/>
    <x v="0"/>
    <n v="36901024"/>
    <x v="0"/>
    <n v="4502035826"/>
    <x v="23"/>
    <n v="328.76999999999992"/>
  </r>
  <r>
    <x v="28"/>
    <s v="הרחבת התקשרות- 2021"/>
    <n v="125000"/>
    <m/>
    <n v="200000"/>
    <m/>
    <m/>
    <n v="38300191"/>
    <x v="0"/>
    <n v="36901024"/>
    <x v="0"/>
    <n v="4501765981"/>
    <x v="24"/>
    <n v="50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DABFFE-1854-47F6-90AD-CF10D0A320E8}" name="PivotTable1" cacheId="4"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B91" firstHeaderRow="1" firstDataRow="1" firstDataCol="1"/>
  <pivotFields count="14">
    <pivotField axis="axisRow" showAll="0">
      <items count="30">
        <item x="1"/>
        <item x="14"/>
        <item x="5"/>
        <item x="11"/>
        <item x="2"/>
        <item x="19"/>
        <item x="20"/>
        <item x="25"/>
        <item x="12"/>
        <item x="15"/>
        <item x="13"/>
        <item x="22"/>
        <item x="4"/>
        <item x="27"/>
        <item x="17"/>
        <item x="10"/>
        <item x="16"/>
        <item x="28"/>
        <item x="23"/>
        <item x="3"/>
        <item x="21"/>
        <item x="8"/>
        <item x="24"/>
        <item x="0"/>
        <item x="18"/>
        <item x="6"/>
        <item x="26"/>
        <item x="7"/>
        <item x="9"/>
        <item t="default"/>
      </items>
    </pivotField>
    <pivotField showAll="0"/>
    <pivotField numFmtId="43" showAll="0"/>
    <pivotField showAll="0"/>
    <pivotField numFmtId="43" showAll="0"/>
    <pivotField showAll="0"/>
    <pivotField showAll="0"/>
    <pivotField showAll="0"/>
    <pivotField axis="axisRow" showAll="0">
      <items count="4">
        <item x="1"/>
        <item x="0"/>
        <item x="2"/>
        <item t="default"/>
      </items>
    </pivotField>
    <pivotField showAll="0"/>
    <pivotField axis="axisRow" showAll="0">
      <items count="8">
        <item x="3"/>
        <item x="6"/>
        <item x="4"/>
        <item x="2"/>
        <item x="0"/>
        <item x="1"/>
        <item x="5"/>
        <item t="default"/>
      </items>
    </pivotField>
    <pivotField showAll="0"/>
    <pivotField dataField="1" showAll="0">
      <items count="26">
        <item x="10"/>
        <item x="23"/>
        <item x="7"/>
        <item x="15"/>
        <item x="5"/>
        <item x="2"/>
        <item x="19"/>
        <item x="8"/>
        <item x="20"/>
        <item x="12"/>
        <item x="21"/>
        <item x="16"/>
        <item x="22"/>
        <item x="11"/>
        <item x="18"/>
        <item x="4"/>
        <item x="9"/>
        <item x="0"/>
        <item x="6"/>
        <item x="24"/>
        <item x="17"/>
        <item x="14"/>
        <item x="13"/>
        <item x="3"/>
        <item x="1"/>
        <item t="default"/>
      </items>
    </pivotField>
    <pivotField numFmtId="4" showAll="0"/>
  </pivotFields>
  <rowFields count="3">
    <field x="0"/>
    <field x="8"/>
    <field x="10"/>
  </rowFields>
  <rowItems count="88">
    <i>
      <x/>
    </i>
    <i r="1">
      <x v="1"/>
    </i>
    <i r="2">
      <x v="5"/>
    </i>
    <i>
      <x v="1"/>
    </i>
    <i r="1">
      <x v="2"/>
    </i>
    <i r="2">
      <x v="6"/>
    </i>
    <i>
      <x v="2"/>
    </i>
    <i r="1">
      <x/>
    </i>
    <i r="2">
      <x/>
    </i>
    <i>
      <x v="3"/>
    </i>
    <i r="1">
      <x v="1"/>
    </i>
    <i r="2">
      <x v="4"/>
    </i>
    <i>
      <x v="4"/>
    </i>
    <i r="1">
      <x v="1"/>
    </i>
    <i r="2">
      <x v="4"/>
    </i>
    <i>
      <x v="5"/>
    </i>
    <i r="1">
      <x v="1"/>
    </i>
    <i r="2">
      <x v="2"/>
    </i>
    <i>
      <x v="6"/>
    </i>
    <i r="1">
      <x v="1"/>
    </i>
    <i r="2">
      <x v="2"/>
    </i>
    <i>
      <x v="7"/>
    </i>
    <i r="1">
      <x v="1"/>
    </i>
    <i r="2">
      <x v="4"/>
    </i>
    <i>
      <x v="8"/>
    </i>
    <i r="1">
      <x v="1"/>
    </i>
    <i r="2">
      <x v="2"/>
    </i>
    <i>
      <x v="9"/>
    </i>
    <i r="1">
      <x v="1"/>
    </i>
    <i r="2">
      <x v="2"/>
    </i>
    <i>
      <x v="10"/>
    </i>
    <i r="1">
      <x v="1"/>
    </i>
    <i r="2">
      <x v="2"/>
    </i>
    <i>
      <x v="11"/>
    </i>
    <i r="1">
      <x v="1"/>
    </i>
    <i r="2">
      <x v="2"/>
    </i>
    <i>
      <x v="12"/>
    </i>
    <i r="1">
      <x v="1"/>
    </i>
    <i r="2">
      <x v="4"/>
    </i>
    <i>
      <x v="13"/>
    </i>
    <i r="1">
      <x v="1"/>
    </i>
    <i r="2">
      <x v="4"/>
    </i>
    <i>
      <x v="14"/>
    </i>
    <i r="1">
      <x v="1"/>
    </i>
    <i r="2">
      <x v="2"/>
    </i>
    <i>
      <x v="15"/>
    </i>
    <i r="1">
      <x v="1"/>
    </i>
    <i r="2">
      <x v="4"/>
    </i>
    <i>
      <x v="16"/>
    </i>
    <i r="1">
      <x v="1"/>
    </i>
    <i r="2">
      <x v="1"/>
    </i>
    <i>
      <x v="17"/>
    </i>
    <i r="1">
      <x v="1"/>
    </i>
    <i r="2">
      <x v="4"/>
    </i>
    <i>
      <x v="18"/>
    </i>
    <i r="1">
      <x v="1"/>
    </i>
    <i r="2">
      <x v="2"/>
    </i>
    <i>
      <x v="19"/>
    </i>
    <i r="1">
      <x v="1"/>
    </i>
    <i r="2">
      <x v="3"/>
    </i>
    <i>
      <x v="20"/>
    </i>
    <i r="1">
      <x v="1"/>
    </i>
    <i r="2">
      <x v="4"/>
    </i>
    <i>
      <x v="21"/>
    </i>
    <i r="1">
      <x v="1"/>
    </i>
    <i r="2">
      <x v="5"/>
    </i>
    <i>
      <x v="22"/>
    </i>
    <i r="1">
      <x v="1"/>
    </i>
    <i r="2">
      <x v="5"/>
    </i>
    <i>
      <x v="23"/>
    </i>
    <i r="1">
      <x v="1"/>
    </i>
    <i r="2">
      <x v="4"/>
    </i>
    <i>
      <x v="24"/>
    </i>
    <i r="1">
      <x v="1"/>
    </i>
    <i r="2">
      <x v="4"/>
    </i>
    <i>
      <x v="25"/>
    </i>
    <i r="1">
      <x v="1"/>
    </i>
    <i r="2">
      <x v="5"/>
    </i>
    <i>
      <x v="26"/>
    </i>
    <i r="1">
      <x v="1"/>
    </i>
    <i r="2">
      <x v="5"/>
    </i>
    <i>
      <x v="27"/>
    </i>
    <i r="1">
      <x v="1"/>
    </i>
    <i r="2">
      <x v="5"/>
    </i>
    <i>
      <x v="28"/>
    </i>
    <i r="1">
      <x v="1"/>
    </i>
    <i r="2">
      <x v="5"/>
    </i>
    <i t="grand">
      <x/>
    </i>
  </rowItems>
  <colItems count="1">
    <i/>
  </colItems>
  <dataFields count="1">
    <dataField name="Sum of שווי שורה/ הגדלה " fld="1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62ACBA-0CEA-43E6-A062-9D56BF47E0A8}" name="Table1" displayName="Table1" ref="A1:O32" totalsRowCount="1" headerRowDxfId="49" totalsRowDxfId="48" totalsRowBorderDxfId="47" headerRowCellStyle="Comma">
  <autoFilter ref="A1:O31" xr:uid="{00000000-0009-0000-0100-000001000000}">
    <filterColumn colId="8">
      <filters>
        <filter val="38300402"/>
      </filters>
    </filterColumn>
    <filterColumn colId="13">
      <customFilters>
        <customFilter operator="notEqual" val=" "/>
      </customFilters>
    </filterColumn>
  </autoFilter>
  <tableColumns count="15">
    <tableColumn id="1" xr3:uid="{3CB35F64-4895-4E43-A017-CD430BFD0AAC}" name="23.00" dataDxfId="46" totalsRowDxfId="45"/>
    <tableColumn id="2" xr3:uid="{E0EF0061-9D6E-4EA0-951A-543A78971054}" name="שם הספק " dataDxfId="44" totalsRowDxfId="43"/>
    <tableColumn id="3" xr3:uid="{B9494E87-B48A-45EB-BFE4-02C4CE5A79ED}" name="מטרת ההתקשרות " dataDxfId="42" totalsRowDxfId="41"/>
    <tableColumn id="4" xr3:uid="{AE2BF67C-A96D-48C8-81E4-15985CF61F94}" name="סכום מבוקש בש&quot;ח כולל מעמ!!" totalsRowFunction="sum" dataDxfId="40" totalsRowDxfId="39" dataCellStyle="Comma" totalsRowCellStyle="Comma"/>
    <tableColumn id="5" xr3:uid="{0D975C3F-2880-4EE3-BB57-E775998ACF5D}" name="סכום התקשרות מצטבר מול הספק (אם רלוונטי)" dataDxfId="38" totalsRowDxfId="37" dataCellStyle="Comma" totalsRowCellStyle="Comma"/>
    <tableColumn id="6" xr3:uid="{5DFC74E0-289F-44A7-B747-6D26434BF84E}" name="יתרה מתקרת ההתקשרות" dataDxfId="36" totalsRowDxfId="35">
      <calculatedColumnFormula>$P$1-E2</calculatedColumnFormula>
    </tableColumn>
    <tableColumn id="7" xr3:uid="{8C752036-2A0B-4CE3-9EE1-1EFDEC1BDD08}" name="אושר בוועדת חריגים (אם כן, לציין מס פנייה ותאריך אישור)" dataDxfId="34" totalsRowDxfId="33"/>
    <tableColumn id="8" xr3:uid="{42CB213B-9B58-46B5-A4C3-E7AC44F545E6}" name="אושר בוועדת מכרזים (אם כן, לציין תאריך דיון)" dataDxfId="32" totalsRowDxfId="31"/>
    <tableColumn id="9" xr3:uid="{C5A2CEF8-45CD-4DC3-8CEB-BA3719BB839E}" name="תקנה/ פריט התחייבות" dataDxfId="30" totalsRowDxfId="29"/>
    <tableColumn id="10" xr3:uid="{E8696322-7DB9-4E4F-8FEC-CCFC7C1E0DED}" name="שם תקנה" dataDxfId="28" totalsRowDxfId="27"/>
    <tableColumn id="11" xr3:uid="{990FCFAF-4B96-49B6-9ABC-1EC26E0D458A}" name="מרכז קרנות" dataDxfId="26" totalsRowDxfId="25"/>
    <tableColumn id="12" xr3:uid="{D2685F56-9559-4BCB-9C42-E1783937F29B}" name="שם מרכז קרנות" dataDxfId="24" totalsRowDxfId="23"/>
    <tableColumn id="16" xr3:uid="{47B6589E-02A1-4CBF-8185-5C0BFBF8E50F}" name="נוצרה/ הוגדלה התחייבות מספר" dataDxfId="22" totalsRowDxfId="21"/>
    <tableColumn id="17" xr3:uid="{E8C11108-0D61-45B2-B9EC-2B58AB4CBE93}" name="שווי שורה/ הגדלה " totalsRowFunction="sum" dataDxfId="20" totalsRowDxfId="19" dataCellStyle="Comma" totalsRowCellStyle="Comma"/>
    <tableColumn id="18" xr3:uid="{357D6823-DA9C-4E5F-9140-B02D30CFCD74}" name="הפרש יתרה שלא נוצלה מהחרגה" totalsRowFunction="sum" dataDxfId="18" totalsRowDxfId="17" dataCellStyle="Comma" totalsRowCellStyle="Comma">
      <calculatedColumnFormula>D2-N2</calculatedColumnFormula>
    </tableColumn>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63997C-1800-4050-9F9D-7CBEFDD21CB6}" name="טבלה3" displayName="טבלה3" ref="A1:J11" totalsRowShown="0" headerRowDxfId="16">
  <autoFilter ref="A1:J11" xr:uid="{9A2FD62C-836E-458A-8FF1-BA29131AD9D4}"/>
  <tableColumns count="10">
    <tableColumn id="1" xr3:uid="{82D8F812-B5E9-4163-8386-9DA2619627C8}" name="מספר"/>
    <tableColumn id="2" xr3:uid="{49BD07CB-94CB-4E13-B2F4-74B9B88151E8}" name="תאריך פנייה"/>
    <tableColumn id="3" xr3:uid="{1CEE62B0-5CD1-404C-8949-848BAF808EA2}" name="נושא"/>
    <tableColumn id="4" xr3:uid="{114C1525-D26B-479A-B92D-017017D16B54}" name="סכום מבוקש" dataCellStyle="Comma"/>
    <tableColumn id="5" xr3:uid="{AA82840C-118D-43D3-9302-688B3856BD78}" name="סטטוס"/>
    <tableColumn id="6" xr3:uid="{D1CAD0BA-9E84-4611-9676-1F3EE1505C6C}" name="סכום מאושר" dataCellStyle="Comma"/>
    <tableColumn id="7" xr3:uid="{888F0346-9737-44CF-A7D8-06C9EFD501F2}" name="הפרש" dataCellStyle="Comma">
      <calculatedColumnFormula>טבלה3[[#This Row],[סכום מבוקש]]-טבלה3[[#This Row],[סכום מאושר]]</calculatedColumnFormula>
    </tableColumn>
    <tableColumn id="8" xr3:uid="{280BFF2C-C252-41CB-9CD0-42ED7D238A91}" name="הערות" dataCellStyle="Comma"/>
    <tableColumn id="9" xr3:uid="{CEA58151-C723-43AC-A3B0-C644424C91EA}" name="ניצול מתוך הפנייה " dataCellStyle="Comma"/>
    <tableColumn id="10" xr3:uid="{A779EE34-98C6-4FCF-97AD-74492996CA27}" name="יתרה לניצול " dataCellStyle="Comma">
      <calculatedColumnFormula>טבלה3[[#This Row],[סכום מאושר]]-טבלה3[[#This Row],[ניצול מתוך הפנייה ]]</calculatedColumnFormula>
    </tableColumn>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D3E4F3-6EB0-4FFE-9132-525414633BA8}" name="Table1332323235242" displayName="Table1332323235242" ref="A7:D23" totalsRowShown="0" headerRowDxfId="15">
  <autoFilter ref="A7:D23" xr:uid="{00000000-0009-0000-0100-000001000000}"/>
  <sortState xmlns:xlrd2="http://schemas.microsoft.com/office/spreadsheetml/2017/richdata2" ref="A8:D23">
    <sortCondition ref="D7:D23"/>
  </sortState>
  <tableColumns count="4">
    <tableColumn id="1" xr3:uid="{D7FB13DF-1851-4D03-BB43-7FC57FBFFD7D}" name="מס" dataDxfId="14" totalsRowDxfId="13"/>
    <tableColumn id="2" xr3:uid="{3C3D2B91-CA30-4117-9B1B-ADE96839F138}" name="ספק" dataDxfId="12" totalsRowDxfId="11"/>
    <tableColumn id="3" xr3:uid="{D2C05CEB-027F-4AE4-9092-2FEEAFF4F162}" name="נושא ההתקשרות" dataDxfId="10" totalsRowDxfId="9"/>
    <tableColumn id="4" xr3:uid="{B9F34B31-FCE3-4D8A-AAD6-1188FF8541E3}" name="סכום ההתקשרות (סכום ההתקשרות ולא סכום המזומן)" dataDxfId="8"/>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4FB5D5-0DC6-4293-8D97-355D68A019BA}" name="Table13323232352424" displayName="Table13323232352424" ref="A7:D17" totalsRowShown="0" headerRowDxfId="7">
  <autoFilter ref="A7:D17" xr:uid="{00000000-0009-0000-0100-000001000000}"/>
  <sortState xmlns:xlrd2="http://schemas.microsoft.com/office/spreadsheetml/2017/richdata2" ref="A8:D17">
    <sortCondition ref="D7:D17"/>
  </sortState>
  <tableColumns count="4">
    <tableColumn id="1" xr3:uid="{6ABE2223-10BA-4E4E-AF00-7F4482968F9B}" name="מס" dataDxfId="6" totalsRowDxfId="5"/>
    <tableColumn id="2" xr3:uid="{2D0E1205-A1B0-4D6E-985F-2E67A9AC8A7B}" name="ספק" dataDxfId="4" totalsRowDxfId="3"/>
    <tableColumn id="3" xr3:uid="{74430093-CEB4-4A14-BA7B-D488C1A45703}" name="נושא ההתקשרות" dataDxfId="2" totalsRowDxfId="1"/>
    <tableColumn id="4" xr3:uid="{4C5FB48C-0732-4C60-B28B-E2CBB0F17255}" name="סכום ההתקשרות (סכום ההתקשרות ולא סכום המזומן)"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3EE9-CC2D-4944-B9A4-8D905D8DBF71}">
  <dimension ref="A3:B91"/>
  <sheetViews>
    <sheetView rightToLeft="1" workbookViewId="0">
      <selection activeCell="D34" sqref="D34"/>
    </sheetView>
  </sheetViews>
  <sheetFormatPr defaultRowHeight="14.25" x14ac:dyDescent="0.2"/>
  <cols>
    <col min="1" max="1" width="16.125" bestFit="1" customWidth="1"/>
    <col min="2" max="2" width="22" style="23" bestFit="1" customWidth="1"/>
    <col min="3" max="3" width="16.5" bestFit="1" customWidth="1"/>
  </cols>
  <sheetData>
    <row r="3" spans="1:2" x14ac:dyDescent="0.2">
      <c r="A3" s="76" t="s">
        <v>217</v>
      </c>
      <c r="B3" s="23" t="s">
        <v>221</v>
      </c>
    </row>
    <row r="4" spans="1:2" x14ac:dyDescent="0.2">
      <c r="A4" s="77" t="s">
        <v>85</v>
      </c>
    </row>
    <row r="5" spans="1:2" x14ac:dyDescent="0.2">
      <c r="A5" s="78" t="s">
        <v>12</v>
      </c>
    </row>
    <row r="6" spans="1:2" x14ac:dyDescent="0.2">
      <c r="A6" s="79" t="s">
        <v>23</v>
      </c>
    </row>
    <row r="7" spans="1:2" x14ac:dyDescent="0.2">
      <c r="A7" s="77" t="s">
        <v>218</v>
      </c>
    </row>
    <row r="8" spans="1:2" x14ac:dyDescent="0.2">
      <c r="A8" s="78" t="s">
        <v>219</v>
      </c>
    </row>
    <row r="9" spans="1:2" x14ac:dyDescent="0.2">
      <c r="A9" s="79" t="s">
        <v>219</v>
      </c>
    </row>
    <row r="10" spans="1:2" x14ac:dyDescent="0.2">
      <c r="A10" s="77" t="s">
        <v>93</v>
      </c>
      <c r="B10" s="23">
        <v>40000</v>
      </c>
    </row>
    <row r="11" spans="1:2" x14ac:dyDescent="0.2">
      <c r="A11" s="78" t="s">
        <v>95</v>
      </c>
      <c r="B11" s="23">
        <v>40000</v>
      </c>
    </row>
    <row r="12" spans="1:2" x14ac:dyDescent="0.2">
      <c r="A12" s="79" t="s">
        <v>96</v>
      </c>
      <c r="B12" s="23">
        <v>40000</v>
      </c>
    </row>
    <row r="13" spans="1:2" x14ac:dyDescent="0.2">
      <c r="A13" s="77" t="s">
        <v>105</v>
      </c>
      <c r="B13" s="23">
        <v>327.60000000000002</v>
      </c>
    </row>
    <row r="14" spans="1:2" x14ac:dyDescent="0.2">
      <c r="A14" s="78" t="s">
        <v>12</v>
      </c>
      <c r="B14" s="23">
        <v>327.60000000000002</v>
      </c>
    </row>
    <row r="15" spans="1:2" x14ac:dyDescent="0.2">
      <c r="A15" s="79" t="s">
        <v>13</v>
      </c>
      <c r="B15" s="23">
        <v>327.60000000000002</v>
      </c>
    </row>
    <row r="16" spans="1:2" x14ac:dyDescent="0.2">
      <c r="A16" s="77" t="s">
        <v>86</v>
      </c>
      <c r="B16" s="23">
        <v>22230</v>
      </c>
    </row>
    <row r="17" spans="1:2" x14ac:dyDescent="0.2">
      <c r="A17" s="78" t="s">
        <v>12</v>
      </c>
      <c r="B17" s="23">
        <v>22230</v>
      </c>
    </row>
    <row r="18" spans="1:2" x14ac:dyDescent="0.2">
      <c r="A18" s="79" t="s">
        <v>13</v>
      </c>
      <c r="B18" s="23">
        <v>22230</v>
      </c>
    </row>
    <row r="19" spans="1:2" x14ac:dyDescent="0.2">
      <c r="A19" s="77" t="s">
        <v>121</v>
      </c>
      <c r="B19" s="23">
        <v>175000</v>
      </c>
    </row>
    <row r="20" spans="1:2" x14ac:dyDescent="0.2">
      <c r="A20" s="78" t="s">
        <v>12</v>
      </c>
      <c r="B20" s="23">
        <v>175000</v>
      </c>
    </row>
    <row r="21" spans="1:2" x14ac:dyDescent="0.2">
      <c r="A21" s="79" t="s">
        <v>15</v>
      </c>
      <c r="B21" s="23">
        <v>175000</v>
      </c>
    </row>
    <row r="22" spans="1:2" x14ac:dyDescent="0.2">
      <c r="A22" s="77" t="s">
        <v>123</v>
      </c>
      <c r="B22" s="23">
        <v>18543.52099999999</v>
      </c>
    </row>
    <row r="23" spans="1:2" x14ac:dyDescent="0.2">
      <c r="A23" s="78" t="s">
        <v>12</v>
      </c>
      <c r="B23" s="23">
        <v>18543.52099999999</v>
      </c>
    </row>
    <row r="24" spans="1:2" x14ac:dyDescent="0.2">
      <c r="A24" s="79" t="s">
        <v>15</v>
      </c>
      <c r="B24" s="23">
        <v>18543.52099999999</v>
      </c>
    </row>
    <row r="25" spans="1:2" x14ac:dyDescent="0.2">
      <c r="A25" s="77" t="s">
        <v>132</v>
      </c>
      <c r="B25" s="23">
        <v>2340</v>
      </c>
    </row>
    <row r="26" spans="1:2" x14ac:dyDescent="0.2">
      <c r="A26" s="78" t="s">
        <v>12</v>
      </c>
      <c r="B26" s="23">
        <v>2340</v>
      </c>
    </row>
    <row r="27" spans="1:2" x14ac:dyDescent="0.2">
      <c r="A27" s="79" t="s">
        <v>13</v>
      </c>
      <c r="B27" s="23">
        <v>2340</v>
      </c>
    </row>
    <row r="28" spans="1:2" x14ac:dyDescent="0.2">
      <c r="A28" s="77" t="s">
        <v>107</v>
      </c>
      <c r="B28" s="23">
        <v>16637.400000000001</v>
      </c>
    </row>
    <row r="29" spans="1:2" x14ac:dyDescent="0.2">
      <c r="A29" s="78" t="s">
        <v>12</v>
      </c>
      <c r="B29" s="23">
        <v>16637.400000000001</v>
      </c>
    </row>
    <row r="30" spans="1:2" x14ac:dyDescent="0.2">
      <c r="A30" s="79" t="s">
        <v>15</v>
      </c>
      <c r="B30" s="23">
        <v>16637.400000000001</v>
      </c>
    </row>
    <row r="31" spans="1:2" x14ac:dyDescent="0.2">
      <c r="A31" s="77" t="s">
        <v>113</v>
      </c>
      <c r="B31" s="23">
        <v>400000</v>
      </c>
    </row>
    <row r="32" spans="1:2" x14ac:dyDescent="0.2">
      <c r="A32" s="78" t="s">
        <v>12</v>
      </c>
      <c r="B32" s="23">
        <v>400000</v>
      </c>
    </row>
    <row r="33" spans="1:2" x14ac:dyDescent="0.2">
      <c r="A33" s="79" t="s">
        <v>15</v>
      </c>
      <c r="B33" s="23">
        <v>400000</v>
      </c>
    </row>
    <row r="34" spans="1:2" x14ac:dyDescent="0.2">
      <c r="A34" s="77" t="s">
        <v>109</v>
      </c>
      <c r="B34" s="23">
        <v>6084</v>
      </c>
    </row>
    <row r="35" spans="1:2" x14ac:dyDescent="0.2">
      <c r="A35" s="78" t="s">
        <v>12</v>
      </c>
      <c r="B35" s="23">
        <v>6084</v>
      </c>
    </row>
    <row r="36" spans="1:2" x14ac:dyDescent="0.2">
      <c r="A36" s="79" t="s">
        <v>15</v>
      </c>
      <c r="B36" s="23">
        <v>6084</v>
      </c>
    </row>
    <row r="37" spans="1:2" x14ac:dyDescent="0.2">
      <c r="A37" s="77" t="s">
        <v>126</v>
      </c>
    </row>
    <row r="38" spans="1:2" x14ac:dyDescent="0.2">
      <c r="A38" s="78" t="s">
        <v>12</v>
      </c>
    </row>
    <row r="39" spans="1:2" x14ac:dyDescent="0.2">
      <c r="A39" s="79" t="s">
        <v>15</v>
      </c>
    </row>
    <row r="40" spans="1:2" x14ac:dyDescent="0.2">
      <c r="A40" s="77" t="s">
        <v>91</v>
      </c>
      <c r="B40" s="23">
        <v>1918</v>
      </c>
    </row>
    <row r="41" spans="1:2" x14ac:dyDescent="0.2">
      <c r="A41" s="78" t="s">
        <v>12</v>
      </c>
      <c r="B41" s="23">
        <v>1918</v>
      </c>
    </row>
    <row r="42" spans="1:2" x14ac:dyDescent="0.2">
      <c r="A42" s="79" t="s">
        <v>13</v>
      </c>
      <c r="B42" s="23">
        <v>1918</v>
      </c>
    </row>
    <row r="43" spans="1:2" x14ac:dyDescent="0.2">
      <c r="A43" s="77" t="s">
        <v>136</v>
      </c>
      <c r="B43" s="23">
        <v>359.19</v>
      </c>
    </row>
    <row r="44" spans="1:2" x14ac:dyDescent="0.2">
      <c r="A44" s="78" t="s">
        <v>12</v>
      </c>
      <c r="B44" s="23">
        <v>359.19</v>
      </c>
    </row>
    <row r="45" spans="1:2" x14ac:dyDescent="0.2">
      <c r="A45" s="79" t="s">
        <v>13</v>
      </c>
      <c r="B45" s="23">
        <v>359.19</v>
      </c>
    </row>
    <row r="46" spans="1:2" x14ac:dyDescent="0.2">
      <c r="A46" s="77" t="s">
        <v>116</v>
      </c>
      <c r="B46" s="23">
        <v>1903</v>
      </c>
    </row>
    <row r="47" spans="1:2" x14ac:dyDescent="0.2">
      <c r="A47" s="78" t="s">
        <v>12</v>
      </c>
      <c r="B47" s="23">
        <v>1903</v>
      </c>
    </row>
    <row r="48" spans="1:2" x14ac:dyDescent="0.2">
      <c r="A48" s="79" t="s">
        <v>15</v>
      </c>
      <c r="B48" s="23">
        <v>1903</v>
      </c>
    </row>
    <row r="49" spans="1:2" x14ac:dyDescent="0.2">
      <c r="A49" s="77" t="s">
        <v>103</v>
      </c>
      <c r="B49" s="23">
        <v>22318</v>
      </c>
    </row>
    <row r="50" spans="1:2" x14ac:dyDescent="0.2">
      <c r="A50" s="78" t="s">
        <v>12</v>
      </c>
      <c r="B50" s="23">
        <v>22318</v>
      </c>
    </row>
    <row r="51" spans="1:2" x14ac:dyDescent="0.2">
      <c r="A51" s="79" t="s">
        <v>13</v>
      </c>
      <c r="B51" s="23">
        <v>22318</v>
      </c>
    </row>
    <row r="52" spans="1:2" x14ac:dyDescent="0.2">
      <c r="A52" s="77" t="s">
        <v>64</v>
      </c>
      <c r="B52" s="23">
        <v>183000</v>
      </c>
    </row>
    <row r="53" spans="1:2" x14ac:dyDescent="0.2">
      <c r="A53" s="78" t="s">
        <v>12</v>
      </c>
      <c r="B53" s="23">
        <v>183000</v>
      </c>
    </row>
    <row r="54" spans="1:2" x14ac:dyDescent="0.2">
      <c r="A54" s="79" t="s">
        <v>39</v>
      </c>
      <c r="B54" s="23">
        <v>183000</v>
      </c>
    </row>
    <row r="55" spans="1:2" x14ac:dyDescent="0.2">
      <c r="A55" s="77" t="s">
        <v>138</v>
      </c>
      <c r="B55" s="23">
        <v>119974</v>
      </c>
    </row>
    <row r="56" spans="1:2" x14ac:dyDescent="0.2">
      <c r="A56" s="78" t="s">
        <v>12</v>
      </c>
      <c r="B56" s="23">
        <v>119974</v>
      </c>
    </row>
    <row r="57" spans="1:2" x14ac:dyDescent="0.2">
      <c r="A57" s="79" t="s">
        <v>13</v>
      </c>
      <c r="B57" s="23">
        <v>119974</v>
      </c>
    </row>
    <row r="58" spans="1:2" x14ac:dyDescent="0.2">
      <c r="A58" s="77" t="s">
        <v>128</v>
      </c>
      <c r="B58" s="23">
        <v>5903.82</v>
      </c>
    </row>
    <row r="59" spans="1:2" x14ac:dyDescent="0.2">
      <c r="A59" s="78" t="s">
        <v>12</v>
      </c>
      <c r="B59" s="23">
        <v>5903.82</v>
      </c>
    </row>
    <row r="60" spans="1:2" x14ac:dyDescent="0.2">
      <c r="A60" s="79" t="s">
        <v>15</v>
      </c>
      <c r="B60" s="23">
        <v>5903.82</v>
      </c>
    </row>
    <row r="61" spans="1:2" x14ac:dyDescent="0.2">
      <c r="A61" s="77" t="s">
        <v>88</v>
      </c>
      <c r="B61" s="23">
        <v>972057.45</v>
      </c>
    </row>
    <row r="62" spans="1:2" x14ac:dyDescent="0.2">
      <c r="A62" s="78" t="s">
        <v>12</v>
      </c>
      <c r="B62" s="23">
        <v>972057.45</v>
      </c>
    </row>
    <row r="63" spans="1:2" x14ac:dyDescent="0.2">
      <c r="A63" s="79" t="s">
        <v>16</v>
      </c>
      <c r="B63" s="23">
        <v>972057.45</v>
      </c>
    </row>
    <row r="64" spans="1:2" x14ac:dyDescent="0.2">
      <c r="A64" s="77" t="s">
        <v>50</v>
      </c>
      <c r="B64" s="23">
        <v>2607</v>
      </c>
    </row>
    <row r="65" spans="1:2" x14ac:dyDescent="0.2">
      <c r="A65" s="78" t="s">
        <v>12</v>
      </c>
      <c r="B65" s="23">
        <v>2607</v>
      </c>
    </row>
    <row r="66" spans="1:2" x14ac:dyDescent="0.2">
      <c r="A66" s="79" t="s">
        <v>13</v>
      </c>
      <c r="B66" s="23">
        <v>2607</v>
      </c>
    </row>
    <row r="67" spans="1:2" x14ac:dyDescent="0.2">
      <c r="A67" s="77" t="s">
        <v>100</v>
      </c>
      <c r="B67" s="23">
        <v>3710</v>
      </c>
    </row>
    <row r="68" spans="1:2" x14ac:dyDescent="0.2">
      <c r="A68" s="78" t="s">
        <v>12</v>
      </c>
      <c r="B68" s="23">
        <v>3710</v>
      </c>
    </row>
    <row r="69" spans="1:2" x14ac:dyDescent="0.2">
      <c r="A69" s="79" t="s">
        <v>23</v>
      </c>
      <c r="B69" s="23">
        <v>3710</v>
      </c>
    </row>
    <row r="70" spans="1:2" x14ac:dyDescent="0.2">
      <c r="A70" s="77" t="s">
        <v>130</v>
      </c>
      <c r="B70" s="23">
        <v>7605</v>
      </c>
    </row>
    <row r="71" spans="1:2" x14ac:dyDescent="0.2">
      <c r="A71" s="78" t="s">
        <v>12</v>
      </c>
      <c r="B71" s="23">
        <v>7605</v>
      </c>
    </row>
    <row r="72" spans="1:2" x14ac:dyDescent="0.2">
      <c r="A72" s="79" t="s">
        <v>23</v>
      </c>
      <c r="B72" s="23">
        <v>7605</v>
      </c>
    </row>
    <row r="73" spans="1:2" x14ac:dyDescent="0.2">
      <c r="A73" s="77" t="s">
        <v>83</v>
      </c>
      <c r="B73" s="23">
        <v>23400</v>
      </c>
    </row>
    <row r="74" spans="1:2" x14ac:dyDescent="0.2">
      <c r="A74" s="78" t="s">
        <v>12</v>
      </c>
      <c r="B74" s="23">
        <v>23400</v>
      </c>
    </row>
    <row r="75" spans="1:2" x14ac:dyDescent="0.2">
      <c r="A75" s="79" t="s">
        <v>13</v>
      </c>
      <c r="B75" s="23">
        <v>23400</v>
      </c>
    </row>
    <row r="76" spans="1:2" x14ac:dyDescent="0.2">
      <c r="A76" s="77" t="s">
        <v>118</v>
      </c>
      <c r="B76" s="23">
        <v>13785</v>
      </c>
    </row>
    <row r="77" spans="1:2" x14ac:dyDescent="0.2">
      <c r="A77" s="78" t="s">
        <v>12</v>
      </c>
      <c r="B77" s="23">
        <v>13785</v>
      </c>
    </row>
    <row r="78" spans="1:2" x14ac:dyDescent="0.2">
      <c r="A78" s="79" t="s">
        <v>13</v>
      </c>
      <c r="B78" s="23">
        <v>13785</v>
      </c>
    </row>
    <row r="79" spans="1:2" x14ac:dyDescent="0.2">
      <c r="A79" s="77" t="s">
        <v>63</v>
      </c>
      <c r="B79" s="23">
        <v>1374.75</v>
      </c>
    </row>
    <row r="80" spans="1:2" x14ac:dyDescent="0.2">
      <c r="A80" s="78" t="s">
        <v>12</v>
      </c>
      <c r="B80" s="23">
        <v>1374.75</v>
      </c>
    </row>
    <row r="81" spans="1:2" x14ac:dyDescent="0.2">
      <c r="A81" s="79" t="s">
        <v>23</v>
      </c>
      <c r="B81" s="23">
        <v>1374.75</v>
      </c>
    </row>
    <row r="82" spans="1:2" x14ac:dyDescent="0.2">
      <c r="A82" s="77" t="s">
        <v>134</v>
      </c>
      <c r="B82" s="23">
        <v>14625</v>
      </c>
    </row>
    <row r="83" spans="1:2" x14ac:dyDescent="0.2">
      <c r="A83" s="78" t="s">
        <v>12</v>
      </c>
      <c r="B83" s="23">
        <v>14625</v>
      </c>
    </row>
    <row r="84" spans="1:2" x14ac:dyDescent="0.2">
      <c r="A84" s="79" t="s">
        <v>23</v>
      </c>
      <c r="B84" s="23">
        <v>14625</v>
      </c>
    </row>
    <row r="85" spans="1:2" x14ac:dyDescent="0.2">
      <c r="A85" s="77" t="s">
        <v>98</v>
      </c>
      <c r="B85" s="23">
        <v>2340</v>
      </c>
    </row>
    <row r="86" spans="1:2" x14ac:dyDescent="0.2">
      <c r="A86" s="78" t="s">
        <v>12</v>
      </c>
      <c r="B86" s="23">
        <v>2340</v>
      </c>
    </row>
    <row r="87" spans="1:2" x14ac:dyDescent="0.2">
      <c r="A87" s="79" t="s">
        <v>23</v>
      </c>
      <c r="B87" s="23">
        <v>2340</v>
      </c>
    </row>
    <row r="88" spans="1:2" x14ac:dyDescent="0.2">
      <c r="A88" s="77" t="s">
        <v>219</v>
      </c>
    </row>
    <row r="89" spans="1:2" x14ac:dyDescent="0.2">
      <c r="A89" s="78" t="s">
        <v>12</v>
      </c>
    </row>
    <row r="90" spans="1:2" x14ac:dyDescent="0.2">
      <c r="A90" s="79" t="s">
        <v>23</v>
      </c>
    </row>
    <row r="91" spans="1:2" x14ac:dyDescent="0.2">
      <c r="A91" s="77" t="s">
        <v>220</v>
      </c>
      <c r="B91" s="23">
        <v>2058042.7309999997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4BB60-0788-411A-A865-B6DC3405723E}">
  <dimension ref="A1:T32"/>
  <sheetViews>
    <sheetView rightToLeft="1" zoomScale="80" zoomScaleNormal="80" workbookViewId="0">
      <pane ySplit="1" topLeftCell="A2" activePane="bottomLeft" state="frozen"/>
      <selection pane="bottomLeft" activeCell="A2" sqref="A2:XFD31"/>
    </sheetView>
  </sheetViews>
  <sheetFormatPr defaultColWidth="9" defaultRowHeight="14.25" x14ac:dyDescent="0.2"/>
  <cols>
    <col min="1" max="1" width="6.875" style="43" customWidth="1"/>
    <col min="2" max="2" width="22.5" style="22" customWidth="1"/>
    <col min="3" max="3" width="31.5" style="22" customWidth="1"/>
    <col min="4" max="4" width="15.75" style="26" customWidth="1"/>
    <col min="5" max="5" width="15.125" style="26" hidden="1" customWidth="1"/>
    <col min="6" max="6" width="12.625" style="22" hidden="1" customWidth="1"/>
    <col min="7" max="7" width="16.25" style="22" hidden="1" customWidth="1"/>
    <col min="8" max="8" width="18.75" style="22" hidden="1" customWidth="1"/>
    <col min="9" max="12" width="18.75" style="22" customWidth="1"/>
    <col min="13" max="13" width="21.125" style="22" bestFit="1" customWidth="1"/>
    <col min="14" max="14" width="14" style="26" bestFit="1" customWidth="1"/>
    <col min="15" max="15" width="18" style="42" bestFit="1" customWidth="1"/>
    <col min="16" max="16" width="8.625" style="22" customWidth="1"/>
    <col min="17" max="17" width="9" style="22"/>
    <col min="18" max="19" width="13.5" style="22" hidden="1" customWidth="1"/>
    <col min="20" max="20" width="11.375" style="22" hidden="1" customWidth="1"/>
    <col min="21" max="16384" width="9" style="22"/>
  </cols>
  <sheetData>
    <row r="1" spans="1:20" s="41" customFormat="1" ht="45" x14ac:dyDescent="0.2">
      <c r="A1" s="34" t="s">
        <v>62</v>
      </c>
      <c r="B1" s="35" t="s">
        <v>6</v>
      </c>
      <c r="C1" s="36" t="s">
        <v>51</v>
      </c>
      <c r="D1" s="37" t="s">
        <v>7</v>
      </c>
      <c r="E1" s="37" t="s">
        <v>52</v>
      </c>
      <c r="F1" s="36" t="s">
        <v>53</v>
      </c>
      <c r="G1" s="36" t="s">
        <v>54</v>
      </c>
      <c r="H1" s="36" t="s">
        <v>55</v>
      </c>
      <c r="I1" s="36" t="s">
        <v>8</v>
      </c>
      <c r="J1" s="36" t="s">
        <v>9</v>
      </c>
      <c r="K1" s="36" t="s">
        <v>10</v>
      </c>
      <c r="L1" s="36" t="s">
        <v>11</v>
      </c>
      <c r="M1" s="36" t="s">
        <v>56</v>
      </c>
      <c r="N1" s="37" t="s">
        <v>57</v>
      </c>
      <c r="O1" s="38" t="s">
        <v>58</v>
      </c>
      <c r="P1" s="39">
        <v>200000</v>
      </c>
      <c r="Q1" s="40">
        <v>0.17</v>
      </c>
      <c r="R1" s="41" t="s">
        <v>59</v>
      </c>
      <c r="S1" s="41" t="s">
        <v>60</v>
      </c>
      <c r="T1" s="41" t="s">
        <v>61</v>
      </c>
    </row>
    <row r="2" spans="1:20" s="52" customFormat="1" ht="28.5" hidden="1" x14ac:dyDescent="0.2">
      <c r="A2" s="56">
        <v>3.05</v>
      </c>
      <c r="B2" s="57" t="s">
        <v>83</v>
      </c>
      <c r="C2" s="57" t="s">
        <v>84</v>
      </c>
      <c r="D2" s="58">
        <f>20000*1.17</f>
        <v>23400</v>
      </c>
      <c r="E2" s="32"/>
      <c r="F2" s="33">
        <f t="shared" ref="F2:F31" si="0">$P$1-E2</f>
        <v>200000</v>
      </c>
      <c r="G2" s="31"/>
      <c r="H2" s="31"/>
      <c r="I2" s="51">
        <v>38300191</v>
      </c>
      <c r="J2" s="51" t="s">
        <v>12</v>
      </c>
      <c r="K2" s="51">
        <v>36901024</v>
      </c>
      <c r="L2" s="51" t="s">
        <v>13</v>
      </c>
      <c r="M2" s="57">
        <v>4502027137</v>
      </c>
      <c r="N2" s="58">
        <v>23400</v>
      </c>
      <c r="O2" s="59">
        <f t="shared" ref="O2:O31" si="1">D2-N2</f>
        <v>0</v>
      </c>
      <c r="R2" s="22"/>
      <c r="S2" s="22"/>
      <c r="T2" s="22"/>
    </row>
    <row r="3" spans="1:20" ht="28.5" hidden="1" x14ac:dyDescent="0.2">
      <c r="A3" s="63">
        <v>3.05</v>
      </c>
      <c r="B3" s="31" t="s">
        <v>85</v>
      </c>
      <c r="C3" s="31" t="s">
        <v>216</v>
      </c>
      <c r="D3" s="32">
        <v>5850</v>
      </c>
      <c r="E3" s="32"/>
      <c r="F3" s="33">
        <f t="shared" si="0"/>
        <v>200000</v>
      </c>
      <c r="G3" s="31"/>
      <c r="H3" s="31"/>
      <c r="I3" s="24">
        <v>38300191</v>
      </c>
      <c r="J3" s="24" t="s">
        <v>12</v>
      </c>
      <c r="K3" s="24">
        <v>3690112</v>
      </c>
      <c r="L3" s="24" t="s">
        <v>23</v>
      </c>
      <c r="M3" s="31">
        <v>4501988636</v>
      </c>
      <c r="N3" s="32"/>
      <c r="O3" s="64">
        <f t="shared" si="1"/>
        <v>5850</v>
      </c>
    </row>
    <row r="4" spans="1:20" s="52" customFormat="1" hidden="1" x14ac:dyDescent="0.2">
      <c r="A4" s="56">
        <v>3.05</v>
      </c>
      <c r="B4" s="57" t="s">
        <v>86</v>
      </c>
      <c r="C4" s="57" t="s">
        <v>87</v>
      </c>
      <c r="D4" s="58">
        <v>2340</v>
      </c>
      <c r="E4" s="32"/>
      <c r="F4" s="33">
        <f t="shared" si="0"/>
        <v>200000</v>
      </c>
      <c r="G4" s="31"/>
      <c r="H4" s="31"/>
      <c r="I4" s="51">
        <v>38300191</v>
      </c>
      <c r="J4" s="51" t="s">
        <v>12</v>
      </c>
      <c r="K4" s="51">
        <v>36901024</v>
      </c>
      <c r="L4" s="51" t="s">
        <v>13</v>
      </c>
      <c r="M4" s="57">
        <v>4502026579</v>
      </c>
      <c r="N4" s="58">
        <v>2340</v>
      </c>
      <c r="O4" s="59">
        <f t="shared" si="1"/>
        <v>0</v>
      </c>
      <c r="R4" s="22"/>
      <c r="S4" s="22"/>
      <c r="T4" s="22"/>
    </row>
    <row r="5" spans="1:20" s="48" customFormat="1" hidden="1" x14ac:dyDescent="0.2">
      <c r="A5" s="53">
        <v>3.05</v>
      </c>
      <c r="B5" s="54" t="s">
        <v>88</v>
      </c>
      <c r="C5" s="54" t="s">
        <v>89</v>
      </c>
      <c r="D5" s="55">
        <f>1375*1.17</f>
        <v>1608.75</v>
      </c>
      <c r="E5" s="32"/>
      <c r="F5" s="33">
        <f t="shared" si="0"/>
        <v>200000</v>
      </c>
      <c r="G5" s="31"/>
      <c r="H5" s="31"/>
      <c r="I5" s="47">
        <v>38300191</v>
      </c>
      <c r="J5" s="47" t="s">
        <v>12</v>
      </c>
      <c r="K5" s="47">
        <v>36901022</v>
      </c>
      <c r="L5" s="47" t="s">
        <v>16</v>
      </c>
      <c r="M5" s="54">
        <v>4502026576</v>
      </c>
      <c r="N5" s="55">
        <f>[1]!Table1[[#This Row],[סכום מבוקש בש"ח כולל מעמ!!]]</f>
        <v>972057.45</v>
      </c>
      <c r="O5" s="46">
        <f t="shared" si="1"/>
        <v>-970448.7</v>
      </c>
      <c r="R5" s="22"/>
      <c r="S5" s="22"/>
      <c r="T5" s="22"/>
    </row>
    <row r="6" spans="1:20" s="52" customFormat="1" hidden="1" x14ac:dyDescent="0.2">
      <c r="A6" s="56">
        <v>3.05</v>
      </c>
      <c r="B6" s="57" t="s">
        <v>86</v>
      </c>
      <c r="C6" s="57" t="s">
        <v>90</v>
      </c>
      <c r="D6" s="58">
        <f>585+2574</f>
        <v>3159</v>
      </c>
      <c r="E6" s="32"/>
      <c r="F6" s="33">
        <f t="shared" si="0"/>
        <v>200000</v>
      </c>
      <c r="G6" s="31"/>
      <c r="H6" s="31"/>
      <c r="I6" s="51">
        <v>38300191</v>
      </c>
      <c r="J6" s="51" t="s">
        <v>12</v>
      </c>
      <c r="K6" s="51">
        <v>36901024</v>
      </c>
      <c r="L6" s="51" t="s">
        <v>13</v>
      </c>
      <c r="M6" s="57">
        <v>4502014038</v>
      </c>
      <c r="N6" s="58">
        <f>[1]!Table1[[#This Row],[סכום מבוקש בש"ח כולל מעמ!!]]</f>
        <v>19890</v>
      </c>
      <c r="O6" s="59">
        <f t="shared" si="1"/>
        <v>-16731</v>
      </c>
      <c r="R6" s="22"/>
      <c r="S6" s="22"/>
      <c r="T6" s="22"/>
    </row>
    <row r="7" spans="1:20" s="52" customFormat="1" hidden="1" x14ac:dyDescent="0.2">
      <c r="A7" s="56">
        <v>3.05</v>
      </c>
      <c r="B7" s="57" t="s">
        <v>91</v>
      </c>
      <c r="C7" s="57" t="s">
        <v>92</v>
      </c>
      <c r="D7" s="58">
        <v>1918</v>
      </c>
      <c r="E7" s="32"/>
      <c r="F7" s="33">
        <f t="shared" si="0"/>
        <v>200000</v>
      </c>
      <c r="G7" s="31"/>
      <c r="H7" s="31"/>
      <c r="I7" s="51">
        <v>38300191</v>
      </c>
      <c r="J7" s="51" t="s">
        <v>12</v>
      </c>
      <c r="K7" s="51">
        <v>36901024</v>
      </c>
      <c r="L7" s="51" t="s">
        <v>13</v>
      </c>
      <c r="M7" s="57">
        <v>4502032522</v>
      </c>
      <c r="N7" s="58">
        <v>1918</v>
      </c>
      <c r="O7" s="59">
        <f t="shared" si="1"/>
        <v>0</v>
      </c>
      <c r="R7" s="22"/>
      <c r="S7" s="22"/>
      <c r="T7" s="22"/>
    </row>
    <row r="8" spans="1:20" s="52" customFormat="1" x14ac:dyDescent="0.2">
      <c r="A8" s="56">
        <v>3.05</v>
      </c>
      <c r="B8" s="81" t="s">
        <v>93</v>
      </c>
      <c r="C8" s="57" t="s">
        <v>94</v>
      </c>
      <c r="D8" s="58">
        <v>40000</v>
      </c>
      <c r="E8" s="44"/>
      <c r="F8" s="45">
        <f t="shared" si="0"/>
        <v>200000</v>
      </c>
      <c r="G8" s="24"/>
      <c r="H8" s="24"/>
      <c r="I8" s="51">
        <v>38300402</v>
      </c>
      <c r="J8" s="51" t="s">
        <v>95</v>
      </c>
      <c r="K8" s="51">
        <v>3690109</v>
      </c>
      <c r="L8" s="49" t="s">
        <v>96</v>
      </c>
      <c r="M8" s="49">
        <v>4502027470</v>
      </c>
      <c r="N8" s="50">
        <v>40000</v>
      </c>
      <c r="O8" s="59">
        <f t="shared" si="1"/>
        <v>0</v>
      </c>
      <c r="R8" s="22"/>
      <c r="S8" s="22"/>
      <c r="T8" s="22"/>
    </row>
    <row r="9" spans="1:20" s="52" customFormat="1" hidden="1" x14ac:dyDescent="0.2">
      <c r="A9" s="56">
        <v>5.05</v>
      </c>
      <c r="B9" s="57" t="s">
        <v>63</v>
      </c>
      <c r="C9" s="57" t="s">
        <v>97</v>
      </c>
      <c r="D9" s="58">
        <f>1300*1.17</f>
        <v>1521</v>
      </c>
      <c r="E9" s="32"/>
      <c r="F9" s="33">
        <f t="shared" si="0"/>
        <v>200000</v>
      </c>
      <c r="G9" s="31"/>
      <c r="H9" s="31"/>
      <c r="I9" s="49">
        <v>38300191</v>
      </c>
      <c r="J9" s="49" t="s">
        <v>12</v>
      </c>
      <c r="K9" s="49">
        <v>3690112</v>
      </c>
      <c r="L9" s="49" t="s">
        <v>23</v>
      </c>
      <c r="M9" s="57">
        <v>4502028486</v>
      </c>
      <c r="N9" s="58">
        <v>1374.75</v>
      </c>
      <c r="O9" s="59">
        <f t="shared" si="1"/>
        <v>146.25</v>
      </c>
      <c r="R9" s="22"/>
      <c r="S9" s="22"/>
      <c r="T9" s="22"/>
    </row>
    <row r="10" spans="1:20" s="52" customFormat="1" hidden="1" x14ac:dyDescent="0.2">
      <c r="A10" s="56">
        <v>5.05</v>
      </c>
      <c r="B10" s="57" t="s">
        <v>98</v>
      </c>
      <c r="C10" s="57" t="s">
        <v>99</v>
      </c>
      <c r="D10" s="58">
        <f>2500*1.17</f>
        <v>2925</v>
      </c>
      <c r="E10" s="32"/>
      <c r="F10" s="33">
        <f t="shared" si="0"/>
        <v>200000</v>
      </c>
      <c r="G10" s="31"/>
      <c r="H10" s="31"/>
      <c r="I10" s="49">
        <v>38300191</v>
      </c>
      <c r="J10" s="49" t="s">
        <v>12</v>
      </c>
      <c r="K10" s="49">
        <v>3690112</v>
      </c>
      <c r="L10" s="49" t="s">
        <v>23</v>
      </c>
      <c r="M10" s="57">
        <v>4502036066</v>
      </c>
      <c r="N10" s="58">
        <v>2340</v>
      </c>
      <c r="O10" s="59">
        <f t="shared" si="1"/>
        <v>585</v>
      </c>
      <c r="R10" s="22"/>
      <c r="S10" s="22"/>
      <c r="T10" s="22"/>
    </row>
    <row r="11" spans="1:20" s="52" customFormat="1" hidden="1" x14ac:dyDescent="0.2">
      <c r="A11" s="56">
        <v>5.05</v>
      </c>
      <c r="B11" s="57" t="s">
        <v>100</v>
      </c>
      <c r="C11" s="57" t="s">
        <v>101</v>
      </c>
      <c r="D11" s="58">
        <v>3750</v>
      </c>
      <c r="E11" s="44"/>
      <c r="F11" s="45">
        <f t="shared" si="0"/>
        <v>200000</v>
      </c>
      <c r="G11" s="24"/>
      <c r="H11" s="24"/>
      <c r="I11" s="49">
        <v>38300191</v>
      </c>
      <c r="J11" s="49" t="s">
        <v>12</v>
      </c>
      <c r="K11" s="49">
        <v>3690112</v>
      </c>
      <c r="L11" s="49" t="s">
        <v>23</v>
      </c>
      <c r="M11" s="49">
        <v>4502033633</v>
      </c>
      <c r="N11" s="50">
        <v>3710</v>
      </c>
      <c r="O11" s="59">
        <f t="shared" si="1"/>
        <v>40</v>
      </c>
      <c r="R11" s="22"/>
      <c r="S11" s="22"/>
      <c r="T11" s="22"/>
    </row>
    <row r="12" spans="1:20" hidden="1" x14ac:dyDescent="0.2">
      <c r="A12" s="63">
        <v>5.05</v>
      </c>
      <c r="B12" s="31"/>
      <c r="C12" s="31" t="s">
        <v>102</v>
      </c>
      <c r="D12" s="32">
        <f>4149.66*4.1</f>
        <v>17013.605999999996</v>
      </c>
      <c r="E12" s="32"/>
      <c r="F12" s="33">
        <f t="shared" si="0"/>
        <v>200000</v>
      </c>
      <c r="G12" s="31"/>
      <c r="H12" s="31"/>
      <c r="I12" s="24">
        <v>38300191</v>
      </c>
      <c r="J12" s="24" t="s">
        <v>12</v>
      </c>
      <c r="K12" s="24">
        <v>3690112</v>
      </c>
      <c r="L12" s="24" t="s">
        <v>23</v>
      </c>
      <c r="M12" s="31"/>
      <c r="N12" s="44"/>
      <c r="O12" s="64">
        <f t="shared" si="1"/>
        <v>17013.605999999996</v>
      </c>
    </row>
    <row r="13" spans="1:20" s="52" customFormat="1" hidden="1" x14ac:dyDescent="0.2">
      <c r="A13" s="56">
        <v>5.05</v>
      </c>
      <c r="B13" s="57" t="s">
        <v>103</v>
      </c>
      <c r="C13" s="60" t="s">
        <v>104</v>
      </c>
      <c r="D13" s="58">
        <f>(14254.48+4821)*1.17</f>
        <v>22318.311599999997</v>
      </c>
      <c r="E13" s="44"/>
      <c r="F13" s="45">
        <f t="shared" si="0"/>
        <v>200000</v>
      </c>
      <c r="G13" s="24"/>
      <c r="H13" s="24"/>
      <c r="I13" s="51">
        <v>38300191</v>
      </c>
      <c r="J13" s="51" t="s">
        <v>12</v>
      </c>
      <c r="K13" s="51">
        <v>36901024</v>
      </c>
      <c r="L13" s="51" t="s">
        <v>13</v>
      </c>
      <c r="M13" s="49">
        <v>4502028295</v>
      </c>
      <c r="N13" s="58">
        <v>22318</v>
      </c>
      <c r="O13" s="59">
        <f t="shared" si="1"/>
        <v>0.31159999999727006</v>
      </c>
      <c r="R13" s="22"/>
      <c r="S13" s="22"/>
      <c r="T13" s="22"/>
    </row>
    <row r="14" spans="1:20" s="52" customFormat="1" hidden="1" x14ac:dyDescent="0.2">
      <c r="A14" s="56">
        <v>5.05</v>
      </c>
      <c r="B14" s="61" t="s">
        <v>105</v>
      </c>
      <c r="C14" s="60" t="s">
        <v>106</v>
      </c>
      <c r="D14" s="62">
        <f>280*1.17</f>
        <v>327.59999999999997</v>
      </c>
      <c r="E14" s="44"/>
      <c r="F14" s="45">
        <f t="shared" si="0"/>
        <v>200000</v>
      </c>
      <c r="G14" s="24"/>
      <c r="H14" s="24"/>
      <c r="I14" s="51">
        <v>38300191</v>
      </c>
      <c r="J14" s="51" t="s">
        <v>12</v>
      </c>
      <c r="K14" s="51">
        <v>36901024</v>
      </c>
      <c r="L14" s="51" t="s">
        <v>13</v>
      </c>
      <c r="M14" s="49">
        <v>4502028313</v>
      </c>
      <c r="N14" s="50">
        <v>327.60000000000002</v>
      </c>
      <c r="O14" s="59">
        <f t="shared" si="1"/>
        <v>0</v>
      </c>
      <c r="R14" s="22"/>
      <c r="S14" s="22"/>
      <c r="T14" s="22"/>
    </row>
    <row r="15" spans="1:20" s="48" customFormat="1" ht="28.5" hidden="1" x14ac:dyDescent="0.2">
      <c r="A15" s="53">
        <v>5.05</v>
      </c>
      <c r="B15" s="54" t="s">
        <v>107</v>
      </c>
      <c r="C15" s="54" t="s">
        <v>108</v>
      </c>
      <c r="D15" s="55">
        <f>(4162*3.5)*1.17</f>
        <v>17043.39</v>
      </c>
      <c r="E15" s="32"/>
      <c r="F15" s="33">
        <f t="shared" si="0"/>
        <v>200000</v>
      </c>
      <c r="G15" s="31"/>
      <c r="H15" s="31"/>
      <c r="I15" s="49">
        <v>38300191</v>
      </c>
      <c r="J15" s="47" t="s">
        <v>12</v>
      </c>
      <c r="K15" s="47">
        <v>36901021</v>
      </c>
      <c r="L15" s="47" t="s">
        <v>15</v>
      </c>
      <c r="M15" s="54">
        <v>4502028305</v>
      </c>
      <c r="N15" s="55">
        <v>16637.400000000001</v>
      </c>
      <c r="O15" s="46">
        <f t="shared" si="1"/>
        <v>405.98999999999796</v>
      </c>
      <c r="R15" s="22"/>
      <c r="S15" s="22"/>
      <c r="T15" s="22"/>
    </row>
    <row r="16" spans="1:20" s="48" customFormat="1" hidden="1" x14ac:dyDescent="0.2">
      <c r="A16" s="53">
        <v>5.05</v>
      </c>
      <c r="B16" s="54" t="s">
        <v>109</v>
      </c>
      <c r="C16" s="54" t="s">
        <v>110</v>
      </c>
      <c r="D16" s="55">
        <v>6084</v>
      </c>
      <c r="E16" s="32"/>
      <c r="F16" s="33">
        <f t="shared" si="0"/>
        <v>200000</v>
      </c>
      <c r="G16" s="31"/>
      <c r="H16" s="31"/>
      <c r="I16" s="49">
        <v>38300191</v>
      </c>
      <c r="J16" s="47" t="s">
        <v>12</v>
      </c>
      <c r="K16" s="47">
        <v>36901021</v>
      </c>
      <c r="L16" s="47" t="s">
        <v>15</v>
      </c>
      <c r="M16" s="54">
        <v>4502027637</v>
      </c>
      <c r="N16" s="55">
        <v>6084</v>
      </c>
      <c r="O16" s="46">
        <f t="shared" si="1"/>
        <v>0</v>
      </c>
      <c r="R16" s="22"/>
      <c r="S16" s="22"/>
      <c r="T16" s="22"/>
    </row>
    <row r="17" spans="1:20" ht="15" hidden="1" x14ac:dyDescent="0.25">
      <c r="A17" s="63">
        <v>12.05</v>
      </c>
      <c r="B17" s="66" t="s">
        <v>111</v>
      </c>
      <c r="C17" s="67" t="s">
        <v>112</v>
      </c>
      <c r="D17" s="32">
        <f>375*3.4</f>
        <v>1275</v>
      </c>
      <c r="E17" s="32"/>
      <c r="F17" s="33">
        <f t="shared" si="0"/>
        <v>200000</v>
      </c>
      <c r="G17" s="31"/>
      <c r="H17" s="31"/>
      <c r="I17" s="31"/>
      <c r="J17" s="31"/>
      <c r="K17" s="31"/>
      <c r="L17" s="31"/>
      <c r="M17" s="31"/>
      <c r="N17" s="32"/>
      <c r="O17" s="64">
        <f t="shared" si="1"/>
        <v>1275</v>
      </c>
    </row>
    <row r="18" spans="1:20" s="48" customFormat="1" hidden="1" x14ac:dyDescent="0.2">
      <c r="A18" s="53">
        <v>12.05</v>
      </c>
      <c r="B18" s="54" t="s">
        <v>113</v>
      </c>
      <c r="C18" s="54" t="s">
        <v>114</v>
      </c>
      <c r="D18" s="55">
        <v>1259000</v>
      </c>
      <c r="E18" s="32"/>
      <c r="F18" s="33">
        <f t="shared" si="0"/>
        <v>200000</v>
      </c>
      <c r="G18" s="31"/>
      <c r="H18" s="31"/>
      <c r="I18" s="49">
        <v>38300191</v>
      </c>
      <c r="J18" s="47" t="s">
        <v>12</v>
      </c>
      <c r="K18" s="47">
        <v>36901021</v>
      </c>
      <c r="L18" s="47" t="s">
        <v>15</v>
      </c>
      <c r="M18" s="54">
        <v>4501807483</v>
      </c>
      <c r="N18" s="55">
        <v>400000</v>
      </c>
      <c r="O18" s="46">
        <f t="shared" si="1"/>
        <v>859000</v>
      </c>
      <c r="R18" s="22"/>
      <c r="S18" s="22"/>
      <c r="T18" s="22"/>
    </row>
    <row r="19" spans="1:20" s="52" customFormat="1" hidden="1" x14ac:dyDescent="0.2">
      <c r="A19" s="56">
        <v>12.05</v>
      </c>
      <c r="B19" s="57" t="s">
        <v>64</v>
      </c>
      <c r="C19" s="57" t="s">
        <v>115</v>
      </c>
      <c r="D19" s="58">
        <v>183000</v>
      </c>
      <c r="E19" s="32"/>
      <c r="F19" s="33">
        <f t="shared" si="0"/>
        <v>200000</v>
      </c>
      <c r="G19" s="31"/>
      <c r="H19" s="31"/>
      <c r="I19" s="51">
        <v>38300191</v>
      </c>
      <c r="J19" s="51" t="s">
        <v>12</v>
      </c>
      <c r="K19" s="49">
        <v>36901023</v>
      </c>
      <c r="L19" s="49" t="s">
        <v>39</v>
      </c>
      <c r="M19" s="57">
        <v>4502030582</v>
      </c>
      <c r="N19" s="58">
        <v>183000</v>
      </c>
      <c r="O19" s="59">
        <f t="shared" si="1"/>
        <v>0</v>
      </c>
      <c r="R19" s="22"/>
      <c r="S19" s="22"/>
      <c r="T19" s="22"/>
    </row>
    <row r="20" spans="1:20" s="48" customFormat="1" ht="15" hidden="1" x14ac:dyDescent="0.25">
      <c r="A20" s="53">
        <v>19.05</v>
      </c>
      <c r="B20" s="54" t="s">
        <v>116</v>
      </c>
      <c r="C20" s="80" t="s">
        <v>117</v>
      </c>
      <c r="D20" s="55">
        <f>(496*3.4)*1.17</f>
        <v>1973.0879999999997</v>
      </c>
      <c r="E20" s="32"/>
      <c r="F20" s="33">
        <f t="shared" si="0"/>
        <v>200000</v>
      </c>
      <c r="G20" s="31"/>
      <c r="H20" s="31"/>
      <c r="I20" s="49">
        <v>38300191</v>
      </c>
      <c r="J20" s="47" t="s">
        <v>12</v>
      </c>
      <c r="K20" s="47">
        <v>36901021</v>
      </c>
      <c r="L20" s="47" t="s">
        <v>15</v>
      </c>
      <c r="M20" s="54">
        <v>4501966387</v>
      </c>
      <c r="N20" s="55">
        <v>1903</v>
      </c>
      <c r="O20" s="46">
        <f t="shared" si="1"/>
        <v>70.087999999999738</v>
      </c>
      <c r="R20" s="22"/>
      <c r="S20" s="22"/>
      <c r="T20" s="22"/>
    </row>
    <row r="21" spans="1:20" s="52" customFormat="1" ht="28.5" hidden="1" x14ac:dyDescent="0.2">
      <c r="A21" s="56">
        <v>20.05</v>
      </c>
      <c r="B21" s="57" t="s">
        <v>118</v>
      </c>
      <c r="C21" s="57" t="s">
        <v>119</v>
      </c>
      <c r="D21" s="58">
        <v>100000</v>
      </c>
      <c r="E21" s="32"/>
      <c r="F21" s="33">
        <f t="shared" si="0"/>
        <v>200000</v>
      </c>
      <c r="G21" s="31"/>
      <c r="H21" s="31"/>
      <c r="I21" s="51">
        <v>38300191</v>
      </c>
      <c r="J21" s="51" t="s">
        <v>12</v>
      </c>
      <c r="K21" s="51">
        <v>36901024</v>
      </c>
      <c r="L21" s="51" t="s">
        <v>13</v>
      </c>
      <c r="M21" s="57" t="s">
        <v>120</v>
      </c>
      <c r="N21" s="58">
        <f>2500+11285</f>
        <v>13785</v>
      </c>
      <c r="O21" s="59">
        <f t="shared" si="1"/>
        <v>86215</v>
      </c>
      <c r="R21" s="22"/>
      <c r="S21" s="22"/>
      <c r="T21" s="22"/>
    </row>
    <row r="22" spans="1:20" s="48" customFormat="1" hidden="1" x14ac:dyDescent="0.2">
      <c r="A22" s="53">
        <v>20.05</v>
      </c>
      <c r="B22" s="54" t="s">
        <v>121</v>
      </c>
      <c r="C22" s="54" t="s">
        <v>122</v>
      </c>
      <c r="D22" s="55">
        <v>175000</v>
      </c>
      <c r="E22" s="32"/>
      <c r="F22" s="33">
        <f t="shared" si="0"/>
        <v>200000</v>
      </c>
      <c r="G22" s="31"/>
      <c r="H22" s="31"/>
      <c r="I22" s="49">
        <v>38300191</v>
      </c>
      <c r="J22" s="47" t="s">
        <v>12</v>
      </c>
      <c r="K22" s="47">
        <v>36901021</v>
      </c>
      <c r="L22" s="47" t="s">
        <v>15</v>
      </c>
      <c r="M22" s="54">
        <v>4501823379</v>
      </c>
      <c r="N22" s="55">
        <v>175000</v>
      </c>
      <c r="O22" s="46">
        <f t="shared" si="1"/>
        <v>0</v>
      </c>
      <c r="R22" s="22"/>
      <c r="S22" s="22"/>
      <c r="T22" s="22"/>
    </row>
    <row r="23" spans="1:20" s="48" customFormat="1" hidden="1" x14ac:dyDescent="0.2">
      <c r="A23" s="53">
        <v>20.05</v>
      </c>
      <c r="B23" s="54" t="s">
        <v>123</v>
      </c>
      <c r="C23" s="54" t="s">
        <v>124</v>
      </c>
      <c r="D23" s="55">
        <f>6750*1.17</f>
        <v>7897.4999999999991</v>
      </c>
      <c r="E23" s="32"/>
      <c r="F23" s="33">
        <f t="shared" si="0"/>
        <v>200000</v>
      </c>
      <c r="G23" s="31"/>
      <c r="H23" s="31"/>
      <c r="I23" s="49">
        <v>38300191</v>
      </c>
      <c r="J23" s="47" t="s">
        <v>12</v>
      </c>
      <c r="K23" s="47">
        <v>36901021</v>
      </c>
      <c r="L23" s="47" t="s">
        <v>15</v>
      </c>
      <c r="M23" s="54">
        <v>4501963799</v>
      </c>
      <c r="N23" s="55">
        <f>[1]!Table1[[#This Row],[סכום מבוקש בש"ח כולל מעמ!!]]</f>
        <v>18543.52099999999</v>
      </c>
      <c r="O23" s="46">
        <f t="shared" si="1"/>
        <v>-10646.02099999999</v>
      </c>
      <c r="R23" s="22"/>
      <c r="S23" s="22"/>
      <c r="T23" s="22"/>
    </row>
    <row r="24" spans="1:20" s="52" customFormat="1" hidden="1" x14ac:dyDescent="0.2">
      <c r="A24" s="56">
        <v>20.05</v>
      </c>
      <c r="B24" s="57" t="s">
        <v>50</v>
      </c>
      <c r="C24" s="57" t="s">
        <v>125</v>
      </c>
      <c r="D24" s="58">
        <v>2607</v>
      </c>
      <c r="E24" s="32"/>
      <c r="F24" s="33">
        <f t="shared" si="0"/>
        <v>200000</v>
      </c>
      <c r="G24" s="31"/>
      <c r="H24" s="31"/>
      <c r="I24" s="51">
        <v>38300191</v>
      </c>
      <c r="J24" s="51" t="s">
        <v>12</v>
      </c>
      <c r="K24" s="51">
        <v>36901024</v>
      </c>
      <c r="L24" s="51" t="s">
        <v>13</v>
      </c>
      <c r="M24" s="57">
        <v>4502033109</v>
      </c>
      <c r="N24" s="58">
        <v>2607</v>
      </c>
      <c r="O24" s="59">
        <f t="shared" si="1"/>
        <v>0</v>
      </c>
      <c r="R24" s="22"/>
      <c r="S24" s="22"/>
      <c r="T24" s="22"/>
    </row>
    <row r="25" spans="1:20" hidden="1" x14ac:dyDescent="0.2">
      <c r="A25" s="63">
        <v>20.05</v>
      </c>
      <c r="B25" s="31" t="s">
        <v>126</v>
      </c>
      <c r="C25" s="31" t="s">
        <v>127</v>
      </c>
      <c r="D25" s="32">
        <v>3184.27</v>
      </c>
      <c r="E25" s="32"/>
      <c r="F25" s="33">
        <f t="shared" si="0"/>
        <v>200000</v>
      </c>
      <c r="G25" s="31"/>
      <c r="H25" s="31"/>
      <c r="I25" s="65">
        <v>38300191</v>
      </c>
      <c r="J25" s="24" t="s">
        <v>12</v>
      </c>
      <c r="K25" s="24">
        <v>36901021</v>
      </c>
      <c r="L25" s="24" t="s">
        <v>15</v>
      </c>
      <c r="M25" s="31">
        <v>4501997482</v>
      </c>
      <c r="N25" s="32"/>
      <c r="O25" s="64">
        <f t="shared" si="1"/>
        <v>3184.27</v>
      </c>
    </row>
    <row r="26" spans="1:20" s="48" customFormat="1" hidden="1" x14ac:dyDescent="0.2">
      <c r="A26" s="53">
        <v>24.05</v>
      </c>
      <c r="B26" s="54" t="s">
        <v>128</v>
      </c>
      <c r="C26" s="54" t="s">
        <v>129</v>
      </c>
      <c r="D26" s="55">
        <v>5904</v>
      </c>
      <c r="E26" s="32"/>
      <c r="F26" s="33">
        <f t="shared" si="0"/>
        <v>200000</v>
      </c>
      <c r="G26" s="31"/>
      <c r="H26" s="31"/>
      <c r="I26" s="49">
        <v>38300191</v>
      </c>
      <c r="J26" s="47" t="s">
        <v>12</v>
      </c>
      <c r="K26" s="47">
        <v>36901021</v>
      </c>
      <c r="L26" s="47" t="s">
        <v>15</v>
      </c>
      <c r="M26" s="54">
        <v>4502033627</v>
      </c>
      <c r="N26" s="55">
        <v>5903.82</v>
      </c>
      <c r="O26" s="46">
        <f t="shared" si="1"/>
        <v>0.18000000000029104</v>
      </c>
      <c r="R26" s="22"/>
      <c r="S26" s="22"/>
      <c r="T26" s="22"/>
    </row>
    <row r="27" spans="1:20" s="52" customFormat="1" ht="28.5" hidden="1" x14ac:dyDescent="0.2">
      <c r="A27" s="56">
        <v>25.05</v>
      </c>
      <c r="B27" s="57" t="s">
        <v>130</v>
      </c>
      <c r="C27" s="57" t="s">
        <v>131</v>
      </c>
      <c r="D27" s="58">
        <f>6500*1.17</f>
        <v>7604.9999999999991</v>
      </c>
      <c r="E27" s="32"/>
      <c r="F27" s="33">
        <f t="shared" si="0"/>
        <v>200000</v>
      </c>
      <c r="G27" s="31"/>
      <c r="H27" s="31"/>
      <c r="I27" s="49">
        <v>38300191</v>
      </c>
      <c r="J27" s="49" t="s">
        <v>12</v>
      </c>
      <c r="K27" s="49">
        <v>3690112</v>
      </c>
      <c r="L27" s="49" t="s">
        <v>23</v>
      </c>
      <c r="M27" s="57">
        <v>4502034300</v>
      </c>
      <c r="N27" s="58">
        <v>7605</v>
      </c>
      <c r="O27" s="59">
        <f t="shared" si="1"/>
        <v>0</v>
      </c>
      <c r="R27" s="22"/>
      <c r="S27" s="22"/>
      <c r="T27" s="22"/>
    </row>
    <row r="28" spans="1:20" s="52" customFormat="1" hidden="1" x14ac:dyDescent="0.2">
      <c r="A28" s="56">
        <v>25.05</v>
      </c>
      <c r="B28" s="57" t="s">
        <v>132</v>
      </c>
      <c r="C28" s="57" t="s">
        <v>133</v>
      </c>
      <c r="D28" s="58">
        <v>3500</v>
      </c>
      <c r="E28" s="32"/>
      <c r="F28" s="33">
        <f t="shared" si="0"/>
        <v>200000</v>
      </c>
      <c r="G28" s="31"/>
      <c r="H28" s="31"/>
      <c r="I28" s="51">
        <v>38300191</v>
      </c>
      <c r="J28" s="51" t="s">
        <v>12</v>
      </c>
      <c r="K28" s="51">
        <v>36901024</v>
      </c>
      <c r="L28" s="51" t="s">
        <v>13</v>
      </c>
      <c r="M28" s="57">
        <v>4502035077</v>
      </c>
      <c r="N28" s="58">
        <v>2340</v>
      </c>
      <c r="O28" s="59">
        <f t="shared" si="1"/>
        <v>1160</v>
      </c>
      <c r="R28" s="22"/>
      <c r="S28" s="22"/>
      <c r="T28" s="22"/>
    </row>
    <row r="29" spans="1:20" s="52" customFormat="1" hidden="1" x14ac:dyDescent="0.2">
      <c r="A29" s="56">
        <v>25.05</v>
      </c>
      <c r="B29" s="57" t="s">
        <v>134</v>
      </c>
      <c r="C29" s="57" t="s">
        <v>135</v>
      </c>
      <c r="D29" s="58">
        <f>12500*1.17</f>
        <v>14625</v>
      </c>
      <c r="E29" s="32"/>
      <c r="F29" s="33">
        <f t="shared" si="0"/>
        <v>200000</v>
      </c>
      <c r="G29" s="31"/>
      <c r="H29" s="31"/>
      <c r="I29" s="49">
        <v>38300191</v>
      </c>
      <c r="J29" s="49" t="s">
        <v>12</v>
      </c>
      <c r="K29" s="49">
        <v>3690112</v>
      </c>
      <c r="L29" s="49" t="s">
        <v>23</v>
      </c>
      <c r="M29" s="57">
        <v>4502035116</v>
      </c>
      <c r="N29" s="58">
        <v>14625</v>
      </c>
      <c r="O29" s="59">
        <f t="shared" si="1"/>
        <v>0</v>
      </c>
      <c r="R29" s="22"/>
      <c r="S29" s="22"/>
      <c r="T29" s="22"/>
    </row>
    <row r="30" spans="1:20" s="52" customFormat="1" hidden="1" x14ac:dyDescent="0.2">
      <c r="A30" s="56">
        <v>30.05</v>
      </c>
      <c r="B30" s="57" t="s">
        <v>136</v>
      </c>
      <c r="C30" s="57" t="s">
        <v>137</v>
      </c>
      <c r="D30" s="58">
        <f>588*1.17</f>
        <v>687.95999999999992</v>
      </c>
      <c r="E30" s="32"/>
      <c r="F30" s="33">
        <f t="shared" si="0"/>
        <v>200000</v>
      </c>
      <c r="G30" s="31"/>
      <c r="H30" s="31"/>
      <c r="I30" s="51">
        <v>38300191</v>
      </c>
      <c r="J30" s="51" t="s">
        <v>12</v>
      </c>
      <c r="K30" s="51">
        <v>36901024</v>
      </c>
      <c r="L30" s="51" t="s">
        <v>13</v>
      </c>
      <c r="M30" s="57">
        <v>4502035826</v>
      </c>
      <c r="N30" s="58">
        <v>359.19</v>
      </c>
      <c r="O30" s="59">
        <f t="shared" si="1"/>
        <v>328.76999999999992</v>
      </c>
      <c r="R30" s="22"/>
      <c r="S30" s="22"/>
      <c r="T30" s="22"/>
    </row>
    <row r="31" spans="1:20" s="52" customFormat="1" hidden="1" x14ac:dyDescent="0.2">
      <c r="A31" s="56">
        <v>30.05</v>
      </c>
      <c r="B31" s="57" t="s">
        <v>138</v>
      </c>
      <c r="C31" s="57" t="s">
        <v>139</v>
      </c>
      <c r="D31" s="58">
        <v>125000</v>
      </c>
      <c r="E31" s="32"/>
      <c r="F31" s="33">
        <f t="shared" si="0"/>
        <v>200000</v>
      </c>
      <c r="G31" s="31"/>
      <c r="H31" s="31"/>
      <c r="I31" s="51">
        <v>38300191</v>
      </c>
      <c r="J31" s="51" t="s">
        <v>12</v>
      </c>
      <c r="K31" s="51">
        <v>36901024</v>
      </c>
      <c r="L31" s="51" t="s">
        <v>13</v>
      </c>
      <c r="M31" s="57">
        <v>4501765981</v>
      </c>
      <c r="N31" s="58">
        <v>119974</v>
      </c>
      <c r="O31" s="59">
        <f t="shared" si="1"/>
        <v>5026</v>
      </c>
      <c r="R31" s="22"/>
      <c r="S31" s="22"/>
      <c r="T31" s="22"/>
    </row>
    <row r="32" spans="1:20" x14ac:dyDescent="0.2">
      <c r="A32" s="63"/>
      <c r="B32" s="31"/>
      <c r="C32" s="31"/>
      <c r="D32" s="32">
        <f>SUBTOTAL(109,Table1[סכום מבוקש בש"ח כולל מעמ!!])</f>
        <v>40000</v>
      </c>
      <c r="E32" s="32"/>
      <c r="F32" s="33"/>
      <c r="G32" s="31"/>
      <c r="H32" s="31"/>
      <c r="I32" s="68"/>
      <c r="J32" s="68"/>
      <c r="K32" s="68"/>
      <c r="L32" s="68"/>
      <c r="M32" s="31"/>
      <c r="N32" s="32">
        <f>SUBTOTAL(109,Table1[שווי שורה/ הגדלה ])</f>
        <v>40000</v>
      </c>
      <c r="O32" s="69">
        <f>SUBTOTAL(109,Table1[הפרש יתרה שלא נוצלה מהחרגה])</f>
        <v>0</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246A2-5BEF-47C3-B9DD-6077B0BD1D79}">
  <dimension ref="A1:G42"/>
  <sheetViews>
    <sheetView rightToLeft="1" workbookViewId="0">
      <pane ySplit="1" topLeftCell="A20" activePane="bottomLeft" state="frozen"/>
      <selection pane="bottomLeft" sqref="A1:XFD1"/>
    </sheetView>
  </sheetViews>
  <sheetFormatPr defaultRowHeight="14.25" x14ac:dyDescent="0.2"/>
  <sheetData>
    <row r="1" spans="1:7" ht="38.25" x14ac:dyDescent="0.2">
      <c r="A1" s="71" t="s">
        <v>140</v>
      </c>
      <c r="B1" s="71" t="s">
        <v>141</v>
      </c>
      <c r="C1" s="71" t="s">
        <v>142</v>
      </c>
      <c r="D1" s="71" t="s">
        <v>143</v>
      </c>
      <c r="E1" s="71" t="s">
        <v>144</v>
      </c>
      <c r="F1" s="75" t="s">
        <v>145</v>
      </c>
      <c r="G1" s="71" t="s">
        <v>146</v>
      </c>
    </row>
    <row r="2" spans="1:7" x14ac:dyDescent="0.2">
      <c r="A2" s="70" t="s">
        <v>147</v>
      </c>
      <c r="B2" s="70" t="s">
        <v>148</v>
      </c>
      <c r="C2" s="70" t="s">
        <v>148</v>
      </c>
      <c r="D2" s="70" t="s">
        <v>149</v>
      </c>
      <c r="E2" s="70" t="s">
        <v>148</v>
      </c>
      <c r="F2" s="72">
        <v>267473.03999999998</v>
      </c>
      <c r="G2" s="70" t="s">
        <v>148</v>
      </c>
    </row>
    <row r="3" spans="1:7" x14ac:dyDescent="0.2">
      <c r="A3" s="70" t="s">
        <v>150</v>
      </c>
      <c r="B3" s="70" t="s">
        <v>151</v>
      </c>
      <c r="C3" s="70" t="s">
        <v>152</v>
      </c>
      <c r="D3" s="70" t="s">
        <v>153</v>
      </c>
      <c r="E3" s="70" t="s">
        <v>154</v>
      </c>
      <c r="F3" s="73">
        <v>-5850</v>
      </c>
      <c r="G3" s="70" t="s">
        <v>155</v>
      </c>
    </row>
    <row r="4" spans="1:7" x14ac:dyDescent="0.2">
      <c r="A4" s="70" t="s">
        <v>156</v>
      </c>
      <c r="B4" s="70" t="s">
        <v>148</v>
      </c>
      <c r="C4" s="70" t="s">
        <v>148</v>
      </c>
      <c r="D4" s="70" t="s">
        <v>149</v>
      </c>
      <c r="E4" s="70" t="s">
        <v>148</v>
      </c>
      <c r="F4" s="73">
        <v>-5850</v>
      </c>
      <c r="G4" s="70" t="s">
        <v>148</v>
      </c>
    </row>
    <row r="5" spans="1:7" x14ac:dyDescent="0.2">
      <c r="A5" s="70" t="s">
        <v>157</v>
      </c>
      <c r="B5" s="70" t="s">
        <v>148</v>
      </c>
      <c r="C5" s="70" t="s">
        <v>148</v>
      </c>
      <c r="D5" s="70" t="s">
        <v>149</v>
      </c>
      <c r="E5" s="70" t="s">
        <v>148</v>
      </c>
      <c r="F5" s="72">
        <v>261623.04000000001</v>
      </c>
      <c r="G5" s="70" t="s">
        <v>148</v>
      </c>
    </row>
    <row r="6" spans="1:7" x14ac:dyDescent="0.2">
      <c r="A6" s="70" t="s">
        <v>158</v>
      </c>
      <c r="B6" s="70" t="s">
        <v>151</v>
      </c>
      <c r="C6" s="70" t="s">
        <v>159</v>
      </c>
      <c r="D6" s="70" t="s">
        <v>160</v>
      </c>
      <c r="E6" s="70" t="s">
        <v>161</v>
      </c>
      <c r="F6" s="74">
        <v>-982.8</v>
      </c>
      <c r="G6" s="70" t="s">
        <v>155</v>
      </c>
    </row>
    <row r="7" spans="1:7" x14ac:dyDescent="0.2">
      <c r="A7" s="70" t="s">
        <v>158</v>
      </c>
      <c r="B7" s="70" t="s">
        <v>151</v>
      </c>
      <c r="C7" s="70" t="s">
        <v>159</v>
      </c>
      <c r="D7" s="70" t="s">
        <v>153</v>
      </c>
      <c r="E7" s="70" t="s">
        <v>162</v>
      </c>
      <c r="F7" s="74">
        <v>-292.5</v>
      </c>
      <c r="G7" s="70" t="s">
        <v>155</v>
      </c>
    </row>
    <row r="8" spans="1:7" x14ac:dyDescent="0.2">
      <c r="A8" s="70" t="s">
        <v>158</v>
      </c>
      <c r="B8" s="70" t="s">
        <v>151</v>
      </c>
      <c r="C8" s="70" t="s">
        <v>159</v>
      </c>
      <c r="D8" s="70" t="s">
        <v>163</v>
      </c>
      <c r="E8" s="70" t="s">
        <v>164</v>
      </c>
      <c r="F8" s="72">
        <v>-99.45</v>
      </c>
      <c r="G8" s="70" t="s">
        <v>155</v>
      </c>
    </row>
    <row r="9" spans="1:7" x14ac:dyDescent="0.2">
      <c r="A9" s="70" t="s">
        <v>165</v>
      </c>
      <c r="B9" s="70" t="s">
        <v>148</v>
      </c>
      <c r="C9" s="70" t="s">
        <v>148</v>
      </c>
      <c r="D9" s="70" t="s">
        <v>149</v>
      </c>
      <c r="E9" s="70" t="s">
        <v>148</v>
      </c>
      <c r="F9" s="72">
        <v>-1374.75</v>
      </c>
      <c r="G9" s="70" t="s">
        <v>148</v>
      </c>
    </row>
    <row r="10" spans="1:7" x14ac:dyDescent="0.2">
      <c r="A10" s="70" t="s">
        <v>166</v>
      </c>
      <c r="B10" s="70" t="s">
        <v>148</v>
      </c>
      <c r="C10" s="70" t="s">
        <v>148</v>
      </c>
      <c r="D10" s="70" t="s">
        <v>149</v>
      </c>
      <c r="E10" s="70" t="s">
        <v>148</v>
      </c>
      <c r="F10" s="72">
        <v>260248.29</v>
      </c>
      <c r="G10" s="70" t="s">
        <v>148</v>
      </c>
    </row>
    <row r="11" spans="1:7" x14ac:dyDescent="0.2">
      <c r="A11" s="70" t="s">
        <v>167</v>
      </c>
      <c r="B11" s="70" t="s">
        <v>151</v>
      </c>
      <c r="C11" s="70" t="s">
        <v>168</v>
      </c>
      <c r="D11" s="70" t="s">
        <v>160</v>
      </c>
      <c r="E11" s="70" t="s">
        <v>169</v>
      </c>
      <c r="F11" s="72">
        <v>-15.21</v>
      </c>
      <c r="G11" s="70" t="s">
        <v>170</v>
      </c>
    </row>
    <row r="12" spans="1:7" x14ac:dyDescent="0.2">
      <c r="A12" s="70" t="s">
        <v>171</v>
      </c>
      <c r="B12" s="70" t="s">
        <v>148</v>
      </c>
      <c r="C12" s="70" t="s">
        <v>148</v>
      </c>
      <c r="D12" s="70" t="s">
        <v>149</v>
      </c>
      <c r="E12" s="70" t="s">
        <v>148</v>
      </c>
      <c r="F12" s="72">
        <v>-15.21</v>
      </c>
      <c r="G12" s="70" t="s">
        <v>148</v>
      </c>
    </row>
    <row r="13" spans="1:7" x14ac:dyDescent="0.2">
      <c r="A13" s="70" t="s">
        <v>172</v>
      </c>
      <c r="B13" s="70" t="s">
        <v>148</v>
      </c>
      <c r="C13" s="70" t="s">
        <v>148</v>
      </c>
      <c r="D13" s="70" t="s">
        <v>149</v>
      </c>
      <c r="E13" s="70" t="s">
        <v>148</v>
      </c>
      <c r="F13" s="72">
        <v>260233.08</v>
      </c>
      <c r="G13" s="70" t="s">
        <v>148</v>
      </c>
    </row>
    <row r="14" spans="1:7" x14ac:dyDescent="0.2">
      <c r="A14" s="70" t="s">
        <v>173</v>
      </c>
      <c r="B14" s="70" t="s">
        <v>151</v>
      </c>
      <c r="C14" s="70" t="s">
        <v>174</v>
      </c>
      <c r="D14" s="70" t="s">
        <v>160</v>
      </c>
      <c r="E14" s="70" t="s">
        <v>175</v>
      </c>
      <c r="F14" s="72">
        <v>37440</v>
      </c>
      <c r="G14" s="70" t="s">
        <v>176</v>
      </c>
    </row>
    <row r="15" spans="1:7" x14ac:dyDescent="0.2">
      <c r="A15" s="70" t="s">
        <v>173</v>
      </c>
      <c r="B15" s="70" t="s">
        <v>151</v>
      </c>
      <c r="C15" s="70" t="s">
        <v>177</v>
      </c>
      <c r="D15" s="70" t="s">
        <v>160</v>
      </c>
      <c r="E15" s="70" t="s">
        <v>175</v>
      </c>
      <c r="F15" s="73">
        <v>-37440</v>
      </c>
      <c r="G15" s="70" t="s">
        <v>178</v>
      </c>
    </row>
    <row r="16" spans="1:7" x14ac:dyDescent="0.2">
      <c r="A16" s="70" t="s">
        <v>179</v>
      </c>
      <c r="B16" s="70" t="s">
        <v>148</v>
      </c>
      <c r="C16" s="70" t="s">
        <v>148</v>
      </c>
      <c r="D16" s="70" t="s">
        <v>149</v>
      </c>
      <c r="E16" s="70" t="s">
        <v>148</v>
      </c>
      <c r="F16" s="72">
        <v>0</v>
      </c>
      <c r="G16" s="70" t="s">
        <v>148</v>
      </c>
    </row>
    <row r="17" spans="1:7" x14ac:dyDescent="0.2">
      <c r="A17" s="70" t="s">
        <v>180</v>
      </c>
      <c r="B17" s="70" t="s">
        <v>148</v>
      </c>
      <c r="C17" s="70" t="s">
        <v>148</v>
      </c>
      <c r="D17" s="70" t="s">
        <v>149</v>
      </c>
      <c r="E17" s="70" t="s">
        <v>148</v>
      </c>
      <c r="F17" s="72">
        <v>260233.08</v>
      </c>
      <c r="G17" s="70" t="s">
        <v>148</v>
      </c>
    </row>
    <row r="18" spans="1:7" x14ac:dyDescent="0.2">
      <c r="A18" s="70" t="s">
        <v>181</v>
      </c>
      <c r="B18" s="70" t="s">
        <v>151</v>
      </c>
      <c r="C18" s="70" t="s">
        <v>168</v>
      </c>
      <c r="D18" s="70" t="s">
        <v>160</v>
      </c>
      <c r="E18" s="70" t="s">
        <v>169</v>
      </c>
      <c r="F18" s="72">
        <v>-53.23</v>
      </c>
      <c r="G18" s="70" t="s">
        <v>170</v>
      </c>
    </row>
    <row r="19" spans="1:7" x14ac:dyDescent="0.2">
      <c r="A19" s="70" t="s">
        <v>182</v>
      </c>
      <c r="B19" s="70" t="s">
        <v>148</v>
      </c>
      <c r="C19" s="70" t="s">
        <v>148</v>
      </c>
      <c r="D19" s="70" t="s">
        <v>149</v>
      </c>
      <c r="E19" s="70" t="s">
        <v>148</v>
      </c>
      <c r="F19" s="72">
        <v>-53.23</v>
      </c>
      <c r="G19" s="70" t="s">
        <v>148</v>
      </c>
    </row>
    <row r="20" spans="1:7" x14ac:dyDescent="0.2">
      <c r="A20" s="70" t="s">
        <v>183</v>
      </c>
      <c r="B20" s="70" t="s">
        <v>148</v>
      </c>
      <c r="C20" s="70" t="s">
        <v>148</v>
      </c>
      <c r="D20" s="70" t="s">
        <v>149</v>
      </c>
      <c r="E20" s="70" t="s">
        <v>148</v>
      </c>
      <c r="F20" s="72">
        <v>260179.85</v>
      </c>
      <c r="G20" s="70" t="s">
        <v>148</v>
      </c>
    </row>
    <row r="21" spans="1:7" x14ac:dyDescent="0.2">
      <c r="A21" s="70" t="s">
        <v>184</v>
      </c>
      <c r="B21" s="70" t="s">
        <v>151</v>
      </c>
      <c r="C21" s="70" t="s">
        <v>168</v>
      </c>
      <c r="D21" s="70" t="s">
        <v>160</v>
      </c>
      <c r="E21" s="70" t="s">
        <v>169</v>
      </c>
      <c r="F21" s="72">
        <v>48.67</v>
      </c>
      <c r="G21" s="70" t="s">
        <v>170</v>
      </c>
    </row>
    <row r="22" spans="1:7" x14ac:dyDescent="0.2">
      <c r="A22" s="70" t="s">
        <v>185</v>
      </c>
      <c r="B22" s="70" t="s">
        <v>148</v>
      </c>
      <c r="C22" s="70" t="s">
        <v>148</v>
      </c>
      <c r="D22" s="70" t="s">
        <v>149</v>
      </c>
      <c r="E22" s="70" t="s">
        <v>148</v>
      </c>
      <c r="F22" s="72">
        <v>48.67</v>
      </c>
      <c r="G22" s="70" t="s">
        <v>148</v>
      </c>
    </row>
    <row r="23" spans="1:7" x14ac:dyDescent="0.2">
      <c r="A23" s="70" t="s">
        <v>186</v>
      </c>
      <c r="B23" s="70" t="s">
        <v>148</v>
      </c>
      <c r="C23" s="70" t="s">
        <v>148</v>
      </c>
      <c r="D23" s="70" t="s">
        <v>149</v>
      </c>
      <c r="E23" s="70" t="s">
        <v>148</v>
      </c>
      <c r="F23" s="72">
        <v>260228.52</v>
      </c>
      <c r="G23" s="70" t="s">
        <v>148</v>
      </c>
    </row>
    <row r="24" spans="1:7" x14ac:dyDescent="0.2">
      <c r="A24" s="70" t="s">
        <v>187</v>
      </c>
      <c r="B24" s="70" t="s">
        <v>151</v>
      </c>
      <c r="C24" s="70" t="s">
        <v>188</v>
      </c>
      <c r="D24" s="70" t="s">
        <v>160</v>
      </c>
      <c r="E24" s="70" t="s">
        <v>189</v>
      </c>
      <c r="F24" s="72">
        <v>-3710.07</v>
      </c>
      <c r="G24" s="70" t="s">
        <v>155</v>
      </c>
    </row>
    <row r="25" spans="1:7" x14ac:dyDescent="0.2">
      <c r="A25" s="70" t="s">
        <v>190</v>
      </c>
      <c r="B25" s="70" t="s">
        <v>148</v>
      </c>
      <c r="C25" s="70" t="s">
        <v>148</v>
      </c>
      <c r="D25" s="70" t="s">
        <v>149</v>
      </c>
      <c r="E25" s="70" t="s">
        <v>148</v>
      </c>
      <c r="F25" s="72">
        <v>-3710.07</v>
      </c>
      <c r="G25" s="70" t="s">
        <v>148</v>
      </c>
    </row>
    <row r="26" spans="1:7" x14ac:dyDescent="0.2">
      <c r="A26" s="70" t="s">
        <v>191</v>
      </c>
      <c r="B26" s="70" t="s">
        <v>148</v>
      </c>
      <c r="C26" s="70" t="s">
        <v>148</v>
      </c>
      <c r="D26" s="70" t="s">
        <v>149</v>
      </c>
      <c r="E26" s="70" t="s">
        <v>148</v>
      </c>
      <c r="F26" s="72">
        <v>256518.45</v>
      </c>
      <c r="G26" s="70" t="s">
        <v>148</v>
      </c>
    </row>
    <row r="27" spans="1:7" x14ac:dyDescent="0.2">
      <c r="A27" s="70" t="s">
        <v>192</v>
      </c>
      <c r="B27" s="70" t="s">
        <v>151</v>
      </c>
      <c r="C27" s="70" t="s">
        <v>193</v>
      </c>
      <c r="D27" s="70" t="s">
        <v>160</v>
      </c>
      <c r="E27" s="70" t="s">
        <v>194</v>
      </c>
      <c r="F27" s="73">
        <v>-4680</v>
      </c>
      <c r="G27" s="70" t="s">
        <v>155</v>
      </c>
    </row>
    <row r="28" spans="1:7" x14ac:dyDescent="0.2">
      <c r="A28" s="70" t="s">
        <v>192</v>
      </c>
      <c r="B28" s="70" t="s">
        <v>151</v>
      </c>
      <c r="C28" s="70" t="s">
        <v>193</v>
      </c>
      <c r="D28" s="70" t="s">
        <v>153</v>
      </c>
      <c r="E28" s="70" t="s">
        <v>195</v>
      </c>
      <c r="F28" s="73">
        <v>-2925</v>
      </c>
      <c r="G28" s="70" t="s">
        <v>155</v>
      </c>
    </row>
    <row r="29" spans="1:7" x14ac:dyDescent="0.2">
      <c r="A29" s="70" t="s">
        <v>196</v>
      </c>
      <c r="B29" s="70" t="s">
        <v>148</v>
      </c>
      <c r="C29" s="70" t="s">
        <v>148</v>
      </c>
      <c r="D29" s="70" t="s">
        <v>149</v>
      </c>
      <c r="E29" s="70" t="s">
        <v>148</v>
      </c>
      <c r="F29" s="73">
        <v>-7605</v>
      </c>
      <c r="G29" s="70" t="s">
        <v>148</v>
      </c>
    </row>
    <row r="30" spans="1:7" x14ac:dyDescent="0.2">
      <c r="A30" s="70" t="s">
        <v>197</v>
      </c>
      <c r="B30" s="70" t="s">
        <v>148</v>
      </c>
      <c r="C30" s="70" t="s">
        <v>148</v>
      </c>
      <c r="D30" s="70" t="s">
        <v>149</v>
      </c>
      <c r="E30" s="70" t="s">
        <v>148</v>
      </c>
      <c r="F30" s="72">
        <v>248913.45</v>
      </c>
      <c r="G30" s="70" t="s">
        <v>148</v>
      </c>
    </row>
    <row r="31" spans="1:7" x14ac:dyDescent="0.2">
      <c r="A31" s="70" t="s">
        <v>198</v>
      </c>
      <c r="B31" s="70" t="s">
        <v>151</v>
      </c>
      <c r="C31" s="70" t="s">
        <v>199</v>
      </c>
      <c r="D31" s="70" t="s">
        <v>160</v>
      </c>
      <c r="E31" s="70" t="s">
        <v>200</v>
      </c>
      <c r="F31" s="73">
        <v>-14625</v>
      </c>
      <c r="G31" s="70" t="s">
        <v>155</v>
      </c>
    </row>
    <row r="32" spans="1:7" x14ac:dyDescent="0.2">
      <c r="A32" s="70" t="s">
        <v>201</v>
      </c>
      <c r="B32" s="70" t="s">
        <v>148</v>
      </c>
      <c r="C32" s="70" t="s">
        <v>148</v>
      </c>
      <c r="D32" s="70" t="s">
        <v>149</v>
      </c>
      <c r="E32" s="70" t="s">
        <v>148</v>
      </c>
      <c r="F32" s="73">
        <v>-14625</v>
      </c>
      <c r="G32" s="70" t="s">
        <v>148</v>
      </c>
    </row>
    <row r="33" spans="1:7" x14ac:dyDescent="0.2">
      <c r="A33" s="70" t="s">
        <v>202</v>
      </c>
      <c r="B33" s="70" t="s">
        <v>148</v>
      </c>
      <c r="C33" s="70" t="s">
        <v>148</v>
      </c>
      <c r="D33" s="70" t="s">
        <v>149</v>
      </c>
      <c r="E33" s="70" t="s">
        <v>148</v>
      </c>
      <c r="F33" s="72">
        <v>234288.45</v>
      </c>
      <c r="G33" s="70" t="s">
        <v>148</v>
      </c>
    </row>
    <row r="34" spans="1:7" x14ac:dyDescent="0.2">
      <c r="A34" s="70" t="s">
        <v>203</v>
      </c>
      <c r="B34" s="70" t="s">
        <v>151</v>
      </c>
      <c r="C34" s="70" t="s">
        <v>168</v>
      </c>
      <c r="D34" s="70" t="s">
        <v>160</v>
      </c>
      <c r="E34" s="70" t="s">
        <v>169</v>
      </c>
      <c r="F34" s="72">
        <v>24.33</v>
      </c>
      <c r="G34" s="70" t="s">
        <v>170</v>
      </c>
    </row>
    <row r="35" spans="1:7" x14ac:dyDescent="0.2">
      <c r="A35" s="70" t="s">
        <v>204</v>
      </c>
      <c r="B35" s="70" t="s">
        <v>148</v>
      </c>
      <c r="C35" s="70" t="s">
        <v>148</v>
      </c>
      <c r="D35" s="70" t="s">
        <v>149</v>
      </c>
      <c r="E35" s="70" t="s">
        <v>148</v>
      </c>
      <c r="F35" s="72">
        <v>24.33</v>
      </c>
      <c r="G35" s="70" t="s">
        <v>148</v>
      </c>
    </row>
    <row r="36" spans="1:7" x14ac:dyDescent="0.2">
      <c r="A36" s="70" t="s">
        <v>205</v>
      </c>
      <c r="B36" s="70" t="s">
        <v>148</v>
      </c>
      <c r="C36" s="70" t="s">
        <v>148</v>
      </c>
      <c r="D36" s="70" t="s">
        <v>149</v>
      </c>
      <c r="E36" s="70" t="s">
        <v>148</v>
      </c>
      <c r="F36" s="72">
        <v>234312.78</v>
      </c>
      <c r="G36" s="70" t="s">
        <v>148</v>
      </c>
    </row>
    <row r="37" spans="1:7" x14ac:dyDescent="0.2">
      <c r="A37" s="70" t="s">
        <v>206</v>
      </c>
      <c r="B37" s="70" t="s">
        <v>151</v>
      </c>
      <c r="C37" s="70" t="s">
        <v>207</v>
      </c>
      <c r="D37" s="70" t="s">
        <v>160</v>
      </c>
      <c r="E37" s="70" t="s">
        <v>208</v>
      </c>
      <c r="F37" s="73">
        <v>-2340</v>
      </c>
      <c r="G37" s="70" t="s">
        <v>155</v>
      </c>
    </row>
    <row r="38" spans="1:7" x14ac:dyDescent="0.2">
      <c r="A38" s="70" t="s">
        <v>209</v>
      </c>
      <c r="B38" s="70" t="s">
        <v>148</v>
      </c>
      <c r="C38" s="70" t="s">
        <v>148</v>
      </c>
      <c r="D38" s="70" t="s">
        <v>149</v>
      </c>
      <c r="E38" s="70" t="s">
        <v>148</v>
      </c>
      <c r="F38" s="73">
        <v>-2340</v>
      </c>
      <c r="G38" s="70" t="s">
        <v>148</v>
      </c>
    </row>
    <row r="39" spans="1:7" x14ac:dyDescent="0.2">
      <c r="A39" s="70" t="s">
        <v>210</v>
      </c>
      <c r="B39" s="70" t="s">
        <v>148</v>
      </c>
      <c r="C39" s="70" t="s">
        <v>148</v>
      </c>
      <c r="D39" s="70" t="s">
        <v>149</v>
      </c>
      <c r="E39" s="70" t="s">
        <v>148</v>
      </c>
      <c r="F39" s="72">
        <v>231972.78</v>
      </c>
      <c r="G39" s="70" t="s">
        <v>148</v>
      </c>
    </row>
    <row r="40" spans="1:7" x14ac:dyDescent="0.2">
      <c r="A40" s="70" t="s">
        <v>211</v>
      </c>
      <c r="B40" s="70" t="s">
        <v>151</v>
      </c>
      <c r="C40" s="70" t="s">
        <v>212</v>
      </c>
      <c r="D40" s="70" t="s">
        <v>153</v>
      </c>
      <c r="E40" s="70" t="s">
        <v>213</v>
      </c>
      <c r="F40" s="73">
        <v>-46683</v>
      </c>
      <c r="G40" s="70" t="s">
        <v>155</v>
      </c>
    </row>
    <row r="41" spans="1:7" x14ac:dyDescent="0.2">
      <c r="A41" s="70" t="s">
        <v>214</v>
      </c>
      <c r="B41" s="70" t="s">
        <v>148</v>
      </c>
      <c r="C41" s="70" t="s">
        <v>148</v>
      </c>
      <c r="D41" s="70" t="s">
        <v>149</v>
      </c>
      <c r="E41" s="70" t="s">
        <v>148</v>
      </c>
      <c r="F41" s="73">
        <v>-46683</v>
      </c>
      <c r="G41" s="70" t="s">
        <v>148</v>
      </c>
    </row>
    <row r="42" spans="1:7" x14ac:dyDescent="0.2">
      <c r="A42" s="70" t="s">
        <v>215</v>
      </c>
      <c r="B42" s="70" t="s">
        <v>148</v>
      </c>
      <c r="C42" s="70" t="s">
        <v>148</v>
      </c>
      <c r="D42" s="70" t="s">
        <v>149</v>
      </c>
      <c r="E42" s="70" t="s">
        <v>148</v>
      </c>
      <c r="F42" s="72">
        <v>185289.78</v>
      </c>
      <c r="G42" s="70"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8F1C-4AE6-43CF-90B9-B560C496C208}">
  <dimension ref="A1:J38"/>
  <sheetViews>
    <sheetView rightToLeft="1" zoomScale="90" zoomScaleNormal="90" workbookViewId="0">
      <pane ySplit="1" topLeftCell="A2" activePane="bottomLeft" state="frozen"/>
      <selection pane="bottomLeft" activeCell="G24" sqref="G24"/>
    </sheetView>
  </sheetViews>
  <sheetFormatPr defaultRowHeight="14.25" x14ac:dyDescent="0.2"/>
  <cols>
    <col min="2" max="2" width="12.125" customWidth="1"/>
    <col min="3" max="3" width="47.75" customWidth="1"/>
    <col min="4" max="4" width="14.875" style="23" customWidth="1"/>
    <col min="5" max="5" width="14.125" customWidth="1"/>
    <col min="6" max="6" width="14.75" style="23" bestFit="1" customWidth="1"/>
    <col min="7" max="7" width="15.875" style="23" customWidth="1"/>
    <col min="8" max="8" width="15.875" customWidth="1"/>
    <col min="9" max="9" width="12.375" bestFit="1" customWidth="1"/>
    <col min="10" max="10" width="14.125" bestFit="1" customWidth="1"/>
  </cols>
  <sheetData>
    <row r="1" spans="1:10" s="13" customFormat="1" ht="28.5" x14ac:dyDescent="0.2">
      <c r="A1" s="13" t="s">
        <v>17</v>
      </c>
      <c r="B1" s="13" t="s">
        <v>18</v>
      </c>
      <c r="C1" s="13" t="s">
        <v>19</v>
      </c>
      <c r="D1" s="25" t="s">
        <v>20</v>
      </c>
      <c r="E1" s="13" t="s">
        <v>21</v>
      </c>
      <c r="F1" s="25" t="s">
        <v>22</v>
      </c>
      <c r="G1" s="25" t="s">
        <v>24</v>
      </c>
      <c r="H1" s="13" t="s">
        <v>28</v>
      </c>
      <c r="I1" s="13" t="s">
        <v>29</v>
      </c>
      <c r="J1" s="13" t="s">
        <v>30</v>
      </c>
    </row>
    <row r="2" spans="1:10" ht="57" x14ac:dyDescent="0.2">
      <c r="A2">
        <v>34637</v>
      </c>
      <c r="B2" t="s">
        <v>26</v>
      </c>
      <c r="C2" s="22" t="s">
        <v>31</v>
      </c>
      <c r="D2" s="23">
        <v>5800000</v>
      </c>
      <c r="E2" t="s">
        <v>14</v>
      </c>
      <c r="F2" s="23">
        <v>5800000</v>
      </c>
      <c r="G2" s="23">
        <f>טבלה3[[#This Row],[סכום מבוקש]]-טבלה3[[#This Row],[סכום מאושר]]</f>
        <v>0</v>
      </c>
      <c r="H2" s="23"/>
      <c r="I2" s="23"/>
      <c r="J2" s="23">
        <f>טבלה3[[#This Row],[סכום מאושר]]-טבלה3[[#This Row],[ניצול מתוך הפנייה ]]</f>
        <v>5800000</v>
      </c>
    </row>
    <row r="3" spans="1:10" ht="28.5" x14ac:dyDescent="0.2">
      <c r="A3">
        <v>34657</v>
      </c>
      <c r="B3" t="s">
        <v>27</v>
      </c>
      <c r="C3" s="22" t="s">
        <v>32</v>
      </c>
      <c r="D3" s="23">
        <v>7500000</v>
      </c>
      <c r="E3" t="s">
        <v>14</v>
      </c>
      <c r="F3" s="23">
        <v>7500000</v>
      </c>
      <c r="G3" s="23">
        <f>טבלה3[[#This Row],[סכום מבוקש]]-טבלה3[[#This Row],[סכום מאושר]]</f>
        <v>0</v>
      </c>
      <c r="H3" s="23"/>
      <c r="I3" s="23">
        <f>'[2]2021'!$N$45</f>
        <v>2949415.3800000004</v>
      </c>
      <c r="J3" s="23">
        <f>טבלה3[[#This Row],[סכום מאושר]]-טבלה3[[#This Row],[ניצול מתוך הפנייה ]]</f>
        <v>4550584.6199999992</v>
      </c>
    </row>
    <row r="4" spans="1:10" x14ac:dyDescent="0.2">
      <c r="A4">
        <v>34803</v>
      </c>
      <c r="B4" t="s">
        <v>33</v>
      </c>
      <c r="C4" t="s">
        <v>34</v>
      </c>
      <c r="D4" s="23">
        <v>27500000</v>
      </c>
      <c r="E4" t="s">
        <v>14</v>
      </c>
      <c r="F4" s="23">
        <v>27500000</v>
      </c>
      <c r="G4" s="23">
        <f>טבלה3[[#This Row],[סכום מבוקש]]-טבלה3[[#This Row],[סכום מאושר]]</f>
        <v>0</v>
      </c>
      <c r="H4" s="23"/>
      <c r="I4" s="23">
        <f>'[3]חישובי יתרה'!$D$21</f>
        <v>5630872.7412999999</v>
      </c>
      <c r="J4" s="23">
        <f>טבלה3[[#This Row],[סכום מאושר]]-טבלה3[[#This Row],[ניצול מתוך הפנייה ]]</f>
        <v>21869127.258699998</v>
      </c>
    </row>
    <row r="5" spans="1:10" ht="42.75" x14ac:dyDescent="0.2">
      <c r="A5">
        <v>34894</v>
      </c>
      <c r="B5" t="s">
        <v>35</v>
      </c>
      <c r="C5" s="22" t="s">
        <v>36</v>
      </c>
      <c r="D5" s="23">
        <v>175500</v>
      </c>
      <c r="E5" t="s">
        <v>37</v>
      </c>
      <c r="G5" s="23">
        <f>טבלה3[[#This Row],[סכום מבוקש]]-טבלה3[[#This Row],[סכום מאושר]]</f>
        <v>175500</v>
      </c>
      <c r="H5" s="26" t="s">
        <v>38</v>
      </c>
      <c r="I5" s="23"/>
      <c r="J5" s="23">
        <f>טבלה3[[#This Row],[סכום מאושר]]-טבלה3[[#This Row],[ניצול מתוך הפנייה ]]</f>
        <v>0</v>
      </c>
    </row>
    <row r="6" spans="1:10" ht="85.5" x14ac:dyDescent="0.2">
      <c r="A6">
        <v>35092</v>
      </c>
      <c r="B6" t="s">
        <v>40</v>
      </c>
      <c r="C6" s="22" t="s">
        <v>41</v>
      </c>
      <c r="D6" s="23">
        <v>527700000</v>
      </c>
      <c r="E6" t="s">
        <v>14</v>
      </c>
      <c r="F6" s="23">
        <f>טבלה3[[#This Row],[סכום מבוקש]]</f>
        <v>527700000</v>
      </c>
      <c r="G6" s="23">
        <f>טבלה3[[#This Row],[סכום מבוקש]]-טבלה3[[#This Row],[סכום מאושר]]</f>
        <v>0</v>
      </c>
      <c r="H6" s="22" t="s">
        <v>42</v>
      </c>
      <c r="I6" s="23"/>
      <c r="J6" s="23">
        <f>טבלה3[[#This Row],[סכום מאושר]]-טבלה3[[#This Row],[ניצול מתוך הפנייה ]]</f>
        <v>527700000</v>
      </c>
    </row>
    <row r="7" spans="1:10" ht="28.5" x14ac:dyDescent="0.2">
      <c r="A7">
        <v>35254</v>
      </c>
      <c r="B7" t="s">
        <v>43</v>
      </c>
      <c r="C7" s="29" t="s">
        <v>44</v>
      </c>
      <c r="D7" s="23">
        <v>415584</v>
      </c>
      <c r="E7" t="s">
        <v>14</v>
      </c>
      <c r="F7" s="23">
        <f>טבלה3[[#This Row],[סכום מבוקש]]</f>
        <v>415584</v>
      </c>
      <c r="G7" s="23">
        <f>טבלה3[[#This Row],[סכום מבוקש]]-טבלה3[[#This Row],[סכום מאושר]]</f>
        <v>0</v>
      </c>
      <c r="H7" s="30" t="s">
        <v>45</v>
      </c>
      <c r="I7" s="23"/>
      <c r="J7" s="23">
        <f>טבלה3[[#This Row],[סכום מאושר]]-טבלה3[[#This Row],[ניצול מתוך הפנייה ]]</f>
        <v>415584</v>
      </c>
    </row>
    <row r="8" spans="1:10" ht="85.5" x14ac:dyDescent="0.2">
      <c r="A8">
        <v>35320</v>
      </c>
      <c r="B8" t="s">
        <v>46</v>
      </c>
      <c r="C8" s="29" t="s">
        <v>47</v>
      </c>
      <c r="D8" s="23">
        <v>150000</v>
      </c>
      <c r="E8" t="s">
        <v>14</v>
      </c>
      <c r="F8" s="23">
        <f>טבלה3[[#This Row],[סכום מבוקש]]</f>
        <v>150000</v>
      </c>
      <c r="G8" s="23">
        <f>טבלה3[[#This Row],[סכום מבוקש]]-טבלה3[[#This Row],[סכום מאושר]]</f>
        <v>0</v>
      </c>
      <c r="H8" s="23"/>
      <c r="I8" s="23"/>
      <c r="J8" s="23">
        <f>טבלה3[[#This Row],[סכום מאושר]]-טבלה3[[#This Row],[ניצול מתוך הפנייה ]]</f>
        <v>150000</v>
      </c>
    </row>
    <row r="9" spans="1:10" ht="28.5" x14ac:dyDescent="0.2">
      <c r="A9">
        <v>35363</v>
      </c>
      <c r="B9" t="s">
        <v>48</v>
      </c>
      <c r="C9" s="22" t="s">
        <v>49</v>
      </c>
      <c r="D9" s="23">
        <v>234000</v>
      </c>
      <c r="E9" t="s">
        <v>14</v>
      </c>
      <c r="F9" s="23">
        <f>טבלה3[[#This Row],[סכום מבוקש]]</f>
        <v>234000</v>
      </c>
      <c r="G9" s="23">
        <f>טבלה3[[#This Row],[סכום מבוקש]]-טבלה3[[#This Row],[סכום מאושר]]</f>
        <v>0</v>
      </c>
      <c r="H9" s="23"/>
      <c r="I9" s="23"/>
      <c r="J9" s="23">
        <f>טבלה3[[#This Row],[סכום מאושר]]-טבלה3[[#This Row],[ניצול מתוך הפנייה ]]</f>
        <v>234000</v>
      </c>
    </row>
    <row r="10" spans="1:10" x14ac:dyDescent="0.2">
      <c r="G10" s="23">
        <f>טבלה3[[#This Row],[סכום מבוקש]]-טבלה3[[#This Row],[סכום מאושר]]</f>
        <v>0</v>
      </c>
      <c r="H10" s="23"/>
      <c r="I10" s="23"/>
      <c r="J10" s="23">
        <f>טבלה3[[#This Row],[סכום מאושר]]-טבלה3[[#This Row],[ניצול מתוך הפנייה ]]</f>
        <v>0</v>
      </c>
    </row>
    <row r="11" spans="1:10" x14ac:dyDescent="0.2">
      <c r="G11" s="23">
        <f>טבלה3[[#This Row],[סכום מבוקש]]-טבלה3[[#This Row],[סכום מאושר]]</f>
        <v>0</v>
      </c>
      <c r="H11" s="23"/>
      <c r="I11" s="23"/>
      <c r="J11" s="23">
        <f>טבלה3[[#This Row],[סכום מאושר]]-טבלה3[[#This Row],[ניצול מתוך הפנייה ]]</f>
        <v>0</v>
      </c>
    </row>
    <row r="12" spans="1:10" x14ac:dyDescent="0.2">
      <c r="H12" s="23"/>
      <c r="I12" s="23"/>
      <c r="J12" s="23"/>
    </row>
    <row r="13" spans="1:10" x14ac:dyDescent="0.2">
      <c r="H13" s="23"/>
      <c r="I13" s="23"/>
      <c r="J13" s="23"/>
    </row>
    <row r="14" spans="1:10" x14ac:dyDescent="0.2">
      <c r="H14" s="23"/>
      <c r="I14" s="23"/>
      <c r="J14" s="23"/>
    </row>
    <row r="15" spans="1:10" x14ac:dyDescent="0.2">
      <c r="H15" s="23"/>
      <c r="I15" s="23"/>
      <c r="J15" s="23"/>
    </row>
    <row r="16" spans="1:10" x14ac:dyDescent="0.2">
      <c r="H16" s="23"/>
      <c r="I16" s="23"/>
      <c r="J16" s="23"/>
    </row>
    <row r="17" spans="8:10" x14ac:dyDescent="0.2">
      <c r="H17" s="23"/>
      <c r="I17" s="23"/>
      <c r="J17" s="23"/>
    </row>
    <row r="18" spans="8:10" x14ac:dyDescent="0.2">
      <c r="H18" s="23"/>
      <c r="I18" s="23"/>
      <c r="J18" s="23"/>
    </row>
    <row r="19" spans="8:10" x14ac:dyDescent="0.2">
      <c r="H19" s="23"/>
      <c r="I19" s="23"/>
      <c r="J19" s="23"/>
    </row>
    <row r="20" spans="8:10" x14ac:dyDescent="0.2">
      <c r="H20" s="23"/>
      <c r="I20" s="23"/>
      <c r="J20" s="23"/>
    </row>
    <row r="21" spans="8:10" x14ac:dyDescent="0.2">
      <c r="H21" s="23"/>
      <c r="I21" s="23"/>
      <c r="J21" s="23"/>
    </row>
    <row r="22" spans="8:10" x14ac:dyDescent="0.2">
      <c r="H22" s="23"/>
      <c r="I22" s="23"/>
      <c r="J22" s="23"/>
    </row>
    <row r="23" spans="8:10" x14ac:dyDescent="0.2">
      <c r="H23" s="23"/>
      <c r="I23" s="23"/>
      <c r="J23" s="23"/>
    </row>
    <row r="24" spans="8:10" x14ac:dyDescent="0.2">
      <c r="H24" s="23"/>
      <c r="I24" s="23"/>
      <c r="J24" s="23"/>
    </row>
    <row r="25" spans="8:10" x14ac:dyDescent="0.2">
      <c r="H25" s="23"/>
      <c r="I25" s="23"/>
      <c r="J25" s="23"/>
    </row>
    <row r="26" spans="8:10" x14ac:dyDescent="0.2">
      <c r="H26" s="23"/>
      <c r="I26" s="23"/>
      <c r="J26" s="23"/>
    </row>
    <row r="27" spans="8:10" x14ac:dyDescent="0.2">
      <c r="H27" s="23"/>
      <c r="I27" s="23"/>
      <c r="J27" s="23"/>
    </row>
    <row r="28" spans="8:10" x14ac:dyDescent="0.2">
      <c r="H28" s="23"/>
      <c r="I28" s="23"/>
      <c r="J28" s="23"/>
    </row>
    <row r="29" spans="8:10" x14ac:dyDescent="0.2">
      <c r="H29" s="23"/>
      <c r="I29" s="23"/>
      <c r="J29" s="23"/>
    </row>
    <row r="30" spans="8:10" x14ac:dyDescent="0.2">
      <c r="H30" s="23"/>
      <c r="I30" s="23"/>
      <c r="J30" s="23"/>
    </row>
    <row r="31" spans="8:10" x14ac:dyDescent="0.2">
      <c r="H31" s="23"/>
      <c r="I31" s="23"/>
      <c r="J31" s="23"/>
    </row>
    <row r="32" spans="8:10" x14ac:dyDescent="0.2">
      <c r="H32" s="23"/>
      <c r="I32" s="23"/>
      <c r="J32" s="23"/>
    </row>
    <row r="33" spans="8:10" x14ac:dyDescent="0.2">
      <c r="H33" s="23"/>
      <c r="I33" s="23"/>
      <c r="J33" s="23"/>
    </row>
    <row r="34" spans="8:10" x14ac:dyDescent="0.2">
      <c r="H34" s="23"/>
      <c r="I34" s="23"/>
      <c r="J34" s="23"/>
    </row>
    <row r="35" spans="8:10" x14ac:dyDescent="0.2">
      <c r="H35" s="23"/>
      <c r="I35" s="23"/>
      <c r="J35" s="23"/>
    </row>
    <row r="36" spans="8:10" x14ac:dyDescent="0.2">
      <c r="H36" s="23"/>
      <c r="I36" s="23"/>
      <c r="J36" s="23"/>
    </row>
    <row r="37" spans="8:10" x14ac:dyDescent="0.2">
      <c r="H37" s="23"/>
      <c r="I37" s="23"/>
      <c r="J37" s="23"/>
    </row>
    <row r="38" spans="8:10" x14ac:dyDescent="0.2">
      <c r="H38" s="23"/>
      <c r="I38" s="23"/>
      <c r="J38" s="23"/>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AB5B8-6BE4-4D99-9AAA-3F9CD2A68649}">
  <dimension ref="A1:F23"/>
  <sheetViews>
    <sheetView rightToLeft="1" workbookViewId="0">
      <pane xSplit="4" ySplit="7" topLeftCell="E8" activePane="bottomRight" state="frozen"/>
      <selection pane="topRight" activeCell="E1" sqref="E1"/>
      <selection pane="bottomLeft" activeCell="A8" sqref="A8"/>
      <selection pane="bottomRight" activeCell="D2" sqref="D2"/>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8" t="s">
        <v>65</v>
      </c>
      <c r="F2"/>
    </row>
    <row r="3" spans="1:6" s="3" customFormat="1" ht="15.75" x14ac:dyDescent="0.25">
      <c r="C3" s="20" t="s">
        <v>1</v>
      </c>
      <c r="D3" s="5"/>
      <c r="F3"/>
    </row>
    <row r="4" spans="1:6" s="3" customFormat="1" ht="15.75" x14ac:dyDescent="0.25">
      <c r="C4" s="6" t="s">
        <v>25</v>
      </c>
      <c r="D4" s="7"/>
      <c r="F4"/>
    </row>
    <row r="5" spans="1:6" s="3" customFormat="1" ht="15" x14ac:dyDescent="0.25">
      <c r="C5" s="8"/>
      <c r="D5" s="9"/>
      <c r="F5"/>
    </row>
    <row r="6" spans="1:6" s="3" customFormat="1" ht="15.75" thickBot="1" x14ac:dyDescent="0.3">
      <c r="C6" s="10" t="s">
        <v>66</v>
      </c>
      <c r="D6" s="11"/>
      <c r="F6"/>
    </row>
    <row r="7" spans="1:6" ht="28.5" x14ac:dyDescent="0.2">
      <c r="A7" s="12" t="s">
        <v>2</v>
      </c>
      <c r="B7" s="12" t="s">
        <v>3</v>
      </c>
      <c r="C7" s="12" t="s">
        <v>4</v>
      </c>
      <c r="D7" s="13" t="s">
        <v>5</v>
      </c>
    </row>
    <row r="8" spans="1:6" s="17" customFormat="1" ht="15" x14ac:dyDescent="0.25">
      <c r="A8" s="14">
        <v>1</v>
      </c>
      <c r="B8" s="27"/>
      <c r="C8" s="27" t="s">
        <v>80</v>
      </c>
      <c r="D8" s="28">
        <v>660</v>
      </c>
    </row>
    <row r="9" spans="1:6" s="17" customFormat="1" ht="15" x14ac:dyDescent="0.25">
      <c r="A9" s="14">
        <v>2</v>
      </c>
      <c r="B9" s="27"/>
      <c r="C9" s="27" t="s">
        <v>73</v>
      </c>
      <c r="D9" s="28">
        <v>5545.7999999999993</v>
      </c>
    </row>
    <row r="10" spans="1:6" s="17" customFormat="1" ht="15" x14ac:dyDescent="0.25">
      <c r="A10" s="14">
        <v>3</v>
      </c>
      <c r="B10" s="15"/>
      <c r="C10" s="15" t="s">
        <v>79</v>
      </c>
      <c r="D10" s="16">
        <v>5850</v>
      </c>
    </row>
    <row r="11" spans="1:6" s="17" customFormat="1" ht="15" x14ac:dyDescent="0.25">
      <c r="A11" s="14">
        <v>4</v>
      </c>
      <c r="B11" s="15"/>
      <c r="C11" s="15" t="s">
        <v>74</v>
      </c>
      <c r="D11" s="16">
        <v>6142.5</v>
      </c>
    </row>
    <row r="12" spans="1:6" s="17" customFormat="1" ht="15" x14ac:dyDescent="0.25">
      <c r="A12" s="14">
        <v>5</v>
      </c>
      <c r="B12" s="27"/>
      <c r="C12" s="27" t="s">
        <v>13</v>
      </c>
      <c r="D12" s="28">
        <v>7762</v>
      </c>
    </row>
    <row r="13" spans="1:6" s="17" customFormat="1" ht="15.75" x14ac:dyDescent="0.25">
      <c r="A13" s="14">
        <v>6</v>
      </c>
      <c r="B13" s="15"/>
      <c r="C13" s="15" t="s">
        <v>78</v>
      </c>
      <c r="D13" s="21">
        <v>10000</v>
      </c>
    </row>
    <row r="14" spans="1:6" s="17" customFormat="1" ht="15" x14ac:dyDescent="0.25">
      <c r="A14" s="14">
        <v>7</v>
      </c>
      <c r="B14" s="15"/>
      <c r="C14" s="15" t="s">
        <v>71</v>
      </c>
      <c r="D14" s="16" t="e">
        <f>'דוח החרגות'!#REF!</f>
        <v>#REF!</v>
      </c>
    </row>
    <row r="15" spans="1:6" s="17" customFormat="1" ht="15.75" x14ac:dyDescent="0.25">
      <c r="A15" s="14">
        <v>8</v>
      </c>
      <c r="B15" s="15"/>
      <c r="C15" s="19" t="s">
        <v>72</v>
      </c>
      <c r="D15" s="21">
        <v>33590.699999999997</v>
      </c>
    </row>
    <row r="16" spans="1:6" ht="15" x14ac:dyDescent="0.25">
      <c r="A16" s="14">
        <v>9</v>
      </c>
      <c r="B16" s="15"/>
      <c r="C16" s="15" t="s">
        <v>76</v>
      </c>
      <c r="D16" s="16">
        <v>41896.342799999991</v>
      </c>
    </row>
    <row r="17" spans="1:4" ht="15" x14ac:dyDescent="0.25">
      <c r="A17" s="14">
        <v>10</v>
      </c>
      <c r="B17" s="15"/>
      <c r="C17" s="15" t="s">
        <v>75</v>
      </c>
      <c r="D17" s="16">
        <v>117000</v>
      </c>
    </row>
    <row r="18" spans="1:4" ht="15" x14ac:dyDescent="0.25">
      <c r="A18" s="14">
        <v>11</v>
      </c>
      <c r="B18" s="15"/>
      <c r="C18" s="15" t="s">
        <v>77</v>
      </c>
      <c r="D18" s="16">
        <v>120620</v>
      </c>
    </row>
    <row r="19" spans="1:4" ht="15" x14ac:dyDescent="0.25">
      <c r="A19" s="14">
        <v>12</v>
      </c>
      <c r="B19" s="15"/>
      <c r="C19" s="15" t="s">
        <v>70</v>
      </c>
      <c r="D19" s="16">
        <v>685768.76</v>
      </c>
    </row>
    <row r="20" spans="1:4" ht="15" x14ac:dyDescent="0.25">
      <c r="A20" s="14">
        <v>13</v>
      </c>
      <c r="B20" s="15"/>
      <c r="C20" s="15" t="s">
        <v>69</v>
      </c>
      <c r="D20" s="28">
        <v>1256557.6000000001</v>
      </c>
    </row>
    <row r="21" spans="1:4" ht="15" x14ac:dyDescent="0.25">
      <c r="A21" s="14">
        <v>14</v>
      </c>
      <c r="B21" s="15"/>
      <c r="C21" s="15" t="s">
        <v>67</v>
      </c>
      <c r="D21" s="16">
        <v>1287000</v>
      </c>
    </row>
    <row r="22" spans="1:4" ht="15" x14ac:dyDescent="0.25">
      <c r="A22" s="14">
        <v>15</v>
      </c>
      <c r="B22" s="15"/>
      <c r="C22" s="15" t="s">
        <v>68</v>
      </c>
      <c r="D22" s="16" t="e">
        <f>'דוח החרגות'!#REF!</f>
        <v>#REF!</v>
      </c>
    </row>
    <row r="23" spans="1:4" ht="15" x14ac:dyDescent="0.25">
      <c r="A23" s="14"/>
      <c r="B23" s="27"/>
      <c r="C23" s="27"/>
      <c r="D23" s="16" t="e">
        <f>SUBTOTAL(109,D4:D22)</f>
        <v>#REF!</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E28A-7E96-47E0-9BA4-544690F1DCA2}">
  <dimension ref="A1:F17"/>
  <sheetViews>
    <sheetView rightToLeft="1" tabSelected="1" workbookViewId="0">
      <pane xSplit="4" ySplit="7" topLeftCell="E8" activePane="bottomRight" state="frozen"/>
      <selection pane="topRight" activeCell="E1" sqref="E1"/>
      <selection pane="bottomLeft" activeCell="A8" sqref="A8"/>
      <selection pane="bottomRight" activeCell="C9" sqref="C9"/>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0</v>
      </c>
      <c r="D2" s="18" t="s">
        <v>81</v>
      </c>
      <c r="F2"/>
    </row>
    <row r="3" spans="1:6" s="3" customFormat="1" ht="15.75" x14ac:dyDescent="0.25">
      <c r="C3" s="20" t="s">
        <v>1</v>
      </c>
      <c r="D3" s="5"/>
      <c r="F3"/>
    </row>
    <row r="4" spans="1:6" s="3" customFormat="1" ht="15.75" x14ac:dyDescent="0.25">
      <c r="C4" s="6" t="s">
        <v>25</v>
      </c>
      <c r="D4" s="7"/>
      <c r="F4"/>
    </row>
    <row r="5" spans="1:6" s="3" customFormat="1" ht="15" x14ac:dyDescent="0.25">
      <c r="C5" s="8"/>
      <c r="D5" s="9"/>
      <c r="F5"/>
    </row>
    <row r="6" spans="1:6" s="3" customFormat="1" ht="15.75" thickBot="1" x14ac:dyDescent="0.3">
      <c r="C6" s="10" t="s">
        <v>82</v>
      </c>
      <c r="D6" s="11"/>
      <c r="F6"/>
    </row>
    <row r="7" spans="1:6" ht="28.5" x14ac:dyDescent="0.2">
      <c r="A7" s="12" t="s">
        <v>2</v>
      </c>
      <c r="B7" s="12" t="s">
        <v>3</v>
      </c>
      <c r="C7" s="12" t="s">
        <v>4</v>
      </c>
      <c r="D7" s="13" t="s">
        <v>5</v>
      </c>
    </row>
    <row r="8" spans="1:6" s="17" customFormat="1" ht="15" x14ac:dyDescent="0.25">
      <c r="A8" s="14">
        <v>1</v>
      </c>
      <c r="B8" s="27"/>
      <c r="C8" s="27" t="s">
        <v>189</v>
      </c>
      <c r="D8" s="28">
        <v>1608.75</v>
      </c>
    </row>
    <row r="9" spans="1:6" s="17" customFormat="1" ht="15" x14ac:dyDescent="0.25">
      <c r="A9" s="14">
        <v>2</v>
      </c>
      <c r="B9" s="27"/>
      <c r="C9" s="27" t="s">
        <v>222</v>
      </c>
      <c r="D9" s="28">
        <v>7424.75</v>
      </c>
    </row>
    <row r="10" spans="1:6" s="17" customFormat="1" ht="15" x14ac:dyDescent="0.25">
      <c r="A10" s="14">
        <v>3</v>
      </c>
      <c r="B10" s="27"/>
      <c r="C10" s="27" t="s">
        <v>223</v>
      </c>
      <c r="D10" s="28">
        <v>22230</v>
      </c>
    </row>
    <row r="11" spans="1:6" s="17" customFormat="1" ht="15" x14ac:dyDescent="0.25">
      <c r="A11" s="14">
        <v>4</v>
      </c>
      <c r="B11" s="15"/>
      <c r="C11" s="15" t="s">
        <v>227</v>
      </c>
      <c r="D11" s="28">
        <v>40000</v>
      </c>
    </row>
    <row r="12" spans="1:6" s="17" customFormat="1" ht="15" x14ac:dyDescent="0.25">
      <c r="A12" s="14">
        <v>5</v>
      </c>
      <c r="B12" s="15"/>
      <c r="C12" s="15" t="s">
        <v>13</v>
      </c>
      <c r="D12" s="28">
        <v>89284.84</v>
      </c>
    </row>
    <row r="13" spans="1:6" s="17" customFormat="1" ht="15" x14ac:dyDescent="0.25">
      <c r="A13" s="14">
        <v>6</v>
      </c>
      <c r="B13" s="15"/>
      <c r="C13" s="19" t="s">
        <v>226</v>
      </c>
      <c r="D13" s="28">
        <v>120000</v>
      </c>
    </row>
    <row r="14" spans="1:6" s="17" customFormat="1" ht="15" x14ac:dyDescent="0.25">
      <c r="A14" s="14">
        <v>7</v>
      </c>
      <c r="B14" s="15"/>
      <c r="C14" s="15" t="s">
        <v>225</v>
      </c>
      <c r="D14" s="28">
        <v>175000</v>
      </c>
    </row>
    <row r="15" spans="1:6" s="17" customFormat="1" ht="15" x14ac:dyDescent="0.25">
      <c r="A15" s="14">
        <v>8</v>
      </c>
      <c r="B15" s="15"/>
      <c r="C15" s="15" t="s">
        <v>228</v>
      </c>
      <c r="D15" s="28">
        <v>183000</v>
      </c>
    </row>
    <row r="16" spans="1:6" ht="15" x14ac:dyDescent="0.25">
      <c r="A16" s="14">
        <v>9</v>
      </c>
      <c r="B16" s="15"/>
      <c r="C16" s="15" t="s">
        <v>224</v>
      </c>
      <c r="D16" s="28">
        <v>449071.74099999992</v>
      </c>
    </row>
    <row r="17" spans="1:4" ht="15" x14ac:dyDescent="0.25">
      <c r="A17" s="14"/>
      <c r="B17" s="27"/>
      <c r="C17" s="27"/>
      <c r="D17" s="16">
        <f>SUBTOTAL(109,D8:D16)</f>
        <v>1087620.0809999998</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6</vt:i4>
      </vt:variant>
    </vt:vector>
  </HeadingPairs>
  <TitlesOfParts>
    <vt:vector size="6" baseType="lpstr">
      <vt:lpstr>PT</vt:lpstr>
      <vt:lpstr>דוח החרגות</vt:lpstr>
      <vt:lpstr>דוח תנועות</vt:lpstr>
      <vt:lpstr>דוח פניות לאוצר 2021</vt:lpstr>
      <vt:lpstr>אפריל</vt:lpstr>
      <vt:lpstr>מאי</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 Vegotzky</dc:creator>
  <cp:keywords/>
  <dc:description/>
  <cp:lastModifiedBy>Shira Vegotzky</cp:lastModifiedBy>
  <dcterms:created xsi:type="dcterms:W3CDTF">2020-05-03T06:35:46Z</dcterms:created>
  <dcterms:modified xsi:type="dcterms:W3CDTF">2021-06-16T05:29:11Z</dcterms:modified>
  <cp:category/>
</cp:coreProperties>
</file>